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TANG\Downloads\"/>
    </mc:Choice>
  </mc:AlternateContent>
  <bookViews>
    <workbookView xWindow="-120" yWindow="-120" windowWidth="24240" windowHeight="13140" tabRatio="659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เก็บข้อมูลHRD!$A$1:$M$28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3" l="1"/>
  <c r="D28" i="3"/>
  <c r="D25" i="3" l="1"/>
  <c r="D24" i="3"/>
  <c r="L2" i="2" l="1"/>
  <c r="I4" i="2"/>
  <c r="M4" i="2"/>
  <c r="F19" i="2" l="1" a="1"/>
  <c r="F19" i="2" s="1"/>
  <c r="D19" i="2" a="1"/>
  <c r="D19" i="2" s="1"/>
  <c r="D13" i="3" l="1"/>
  <c r="D14" i="3"/>
  <c r="D15" i="3"/>
  <c r="D21" i="3"/>
  <c r="D22" i="3"/>
  <c r="D16" i="3"/>
  <c r="D17" i="3"/>
  <c r="D18" i="3"/>
  <c r="D19" i="3"/>
  <c r="D20" i="3"/>
  <c r="D23" i="3"/>
  <c r="D26" i="3"/>
  <c r="D6" i="3"/>
  <c r="D7" i="3"/>
  <c r="D8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10" i="2" l="1" a="1"/>
  <c r="F10" i="2" s="1"/>
  <c r="F22" i="2"/>
  <c r="D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<sst xmlns="http://schemas.openxmlformats.org/spreadsheetml/2006/main" count="340" uniqueCount="117">
  <si>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</si>
  <si>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</si>
  <si>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</si>
  <si>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</si>
  <si>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</si>
  <si>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</si>
  <si>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</si>
  <si>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</si>
  <si>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</si>
  <si>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</si>
  <si>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</si>
  <si>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</si>
  <si>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</si>
  <si>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</si>
  <si>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</si>
  <si>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</si>
  <si>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</si>
  <si>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</si>
  <si>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</si>
  <si>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</si>
  <si>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</si>
  <si>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</si>
  <si>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</si>
  <si>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</si>
  <si>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</si>
  <si>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</si>
  <si>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</si>
  <si>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</si>
  <si>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</si>
  <si>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</si>
  <si>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</si>
  <si>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</si>
  <si>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</si>
  <si>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</si>
  <si>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</si>
  <si>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</si>
  <si>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</si>
  <si>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</si>
  <si>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</si>
  <si>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</si>
  <si>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</si>
  <si>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</si>
  <si>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</si>
  <si>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</si>
  <si>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</si>
  <si>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</si>
  <si>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</si>
  <si>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</si>
  <si>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</si>
  <si>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</si>
  <si>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</si>
  <si>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</si>
  <si>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</si>
  <si>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</si>
  <si>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</si>
  <si>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</si>
  <si>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</si>
  <si>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</si>
  <si>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</si>
  <si>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</si>
  <si>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</si>
  <si>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</si>
  <si>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</si>
  <si>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</si>
  <si>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</si>
  <si>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</si>
  <si>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</si>
  <si>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</si>
  <si>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</si>
  <si>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</si>
  <si>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</si>
  <si>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</si>
  <si>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</si>
  <si>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</si>
  <si>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</si>
  <si>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นายปิยวิทย์ ธรรมบุตร</t>
  </si>
  <si>
    <t>นักวิชาการสถิติชำนาญการ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</si>
  <si>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</si>
  <si>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</si>
  <si>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</si>
  <si>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</si>
  <si>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</si>
  <si>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</si>
  <si>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</si>
  <si>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</si>
  <si>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นางสุวรรณี กาญจนภูสิต</t>
  </si>
  <si>
    <t>นักวิชาการคอมพิวเตอร์ชำนาญการ</t>
  </si>
  <si>
    <t>นางสาวณัฐกานต์ ท้าวพันวงค์</t>
  </si>
  <si>
    <t>นักวิชาการคอมพิวเตอร์ปฏิบัติการ</t>
  </si>
  <si>
    <t>นายธรรมรัตน์ เนาว์สูงเนิน</t>
  </si>
  <si>
    <t>นายถนอม น้อยหมอ</t>
  </si>
  <si>
    <t>นายสัตวแพทย์ชำนาญการพิเศษ</t>
  </si>
  <si>
    <t>นางสาวภาณุตา บุนนาค</t>
  </si>
  <si>
    <t>เจ้าพนักงานธุรการชำนาญงาน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</si>
  <si>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</si>
  <si>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</si>
  <si>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</si>
  <si>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</si>
  <si>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</si>
  <si>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นางสาวนัยนา สุขใสแก้ว</t>
  </si>
  <si>
    <t>นางสาวนงณภัส พสุรัตน์</t>
  </si>
  <si>
    <t>เจ้าพนักงานธุรการ</t>
  </si>
  <si>
    <t>ศูนย์เทคโนโลยีสารสนเทศและการสื่อสาร</t>
  </si>
  <si>
    <t>มี</t>
  </si>
  <si>
    <t>ชุมชนนักปฏิบัติ(CoP)</t>
  </si>
  <si>
    <t xml:space="preserve">คำนำหน้าชื่อ (ไม่ใช้ตัวย่อ)/
ชื่อ-สกุล </t>
  </si>
  <si>
    <t>การใช้เทคโนโลยี</t>
  </si>
  <si>
    <t>นางสาวพิมพ์พิชชาภัส ศิริวัตน์</t>
  </si>
  <si>
    <t>นายพิทูร ภู่สันติ</t>
  </si>
  <si>
    <t>นายคงสรร ธนาวุฒิ</t>
  </si>
  <si>
    <t>นางสาวฐรดา  ไพบูลย์</t>
  </si>
  <si>
    <t>นางสาวรวีนภา หิรัญญโกมล</t>
  </si>
  <si>
    <t>เจ้าพนักงานธุรการอาวุโส</t>
  </si>
  <si>
    <t>นางสาวอารีย์ กุลอึ้ง</t>
  </si>
  <si>
    <t>นายเอกพงศ์ สุวรรณพงศ์</t>
  </si>
  <si>
    <t>ชุมชนนักปฏิบัติ (CoP) หัวข้อ การเขียนหนังสือราชการ หนังสือโต้ตอบและรายงานการประชุม</t>
  </si>
  <si>
    <t>กฎหมาย/กฎระเบียบฯ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</si>
</sst>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55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9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65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64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65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Alignment="1">
      <alignment vertical="center" shrinkToFit="1"/>
    </xf>
    <xf numFmtId="0" fontId="6" fillId="0" borderId="4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26" fillId="2" borderId="4" xfId="0" applyFont="1" applyFill="1" applyBorder="1" applyAlignment="1">
      <alignment horizontal="center" vertical="top" wrapText="1"/>
    </xf>
    <xf numFmtId="0" fontId="26" fillId="2" borderId="2" xfId="0" applyFont="1" applyFill="1" applyBorder="1" applyAlignment="1">
      <alignment horizontal="center" vertical="top" wrapText="1"/>
    </xf>
    <xf numFmtId="0" fontId="23" fillId="2" borderId="2" xfId="0" applyFont="1" applyFill="1" applyBorder="1" applyAlignment="1">
      <alignment horizontal="center" vertical="top" wrapText="1"/>
    </xf>
    <xf numFmtId="0" fontId="26" fillId="2" borderId="1" xfId="0" applyFont="1" applyFill="1" applyBorder="1" applyAlignment="1">
      <alignment horizontal="center" vertical="top" wrapText="1"/>
    </xf>
    <xf numFmtId="164" fontId="2" fillId="2" borderId="2" xfId="0" applyNumberFormat="1" applyFont="1" applyFill="1" applyBorder="1" applyAlignment="1">
      <alignment horizontal="center" vertical="top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39" fillId="2" borderId="1" xfId="0" applyNumberFormat="1" applyFont="1" applyFill="1" applyBorder="1" applyAlignment="1">
      <alignment horizontal="center" vertical="top" wrapText="1"/>
    </xf>
    <xf numFmtId="0" fontId="39" fillId="2" borderId="4" xfId="0" applyFont="1" applyFill="1" applyBorder="1" applyAlignment="1">
      <alignment horizontal="center" vertical="top" wrapText="1" shrinkToFit="1"/>
    </xf>
    <xf numFmtId="0" fontId="4" fillId="0" borderId="0" xfId="0" applyFont="1" applyAlignment="1">
      <alignment horizontal="center" vertical="top" wrapText="1"/>
    </xf>
    <xf numFmtId="0" fontId="10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4" fillId="2" borderId="0" xfId="0" applyFont="1" applyFill="1" applyAlignment="1">
      <alignment horizontal="right" vertical="top"/>
    </xf>
    <xf numFmtId="0" fontId="1" fillId="2" borderId="0" xfId="0" applyFont="1" applyFill="1" applyAlignment="1">
      <alignment horizontal="center" vertical="top"/>
    </xf>
    <xf numFmtId="2" fontId="1" fillId="2" borderId="0" xfId="0" applyNumberFormat="1" applyFont="1" applyFill="1" applyAlignment="1">
      <alignment horizontal="center" vertical="top"/>
    </xf>
    <xf numFmtId="43" fontId="1" fillId="2" borderId="0" xfId="1" applyFont="1" applyFill="1" applyAlignment="1" applyProtection="1">
      <alignment horizontal="center" vertical="top"/>
    </xf>
    <xf numFmtId="3" fontId="5" fillId="0" borderId="4" xfId="1" applyNumberFormat="1" applyFont="1" applyFill="1" applyBorder="1" applyAlignment="1" applyProtection="1">
      <alignment horizontal="center" vertical="top" shrinkToFit="1"/>
      <protection locked="0"/>
    </xf>
    <xf numFmtId="0" fontId="30" fillId="2" borderId="0" xfId="0" applyFont="1" applyFill="1" applyAlignment="1">
      <alignment horizontal="right" vertical="top" shrinkToFit="1"/>
    </xf>
    <xf numFmtId="0" fontId="26" fillId="2" borderId="0" xfId="0" applyFont="1" applyFill="1" applyAlignment="1">
      <alignment horizontal="right" vertical="top" wrapText="1"/>
    </xf>
    <xf numFmtId="0" fontId="5" fillId="3" borderId="4" xfId="0" applyFont="1" applyFill="1" applyBorder="1" applyAlignment="1" applyProtection="1">
      <alignment horizontal="center" vertical="top" shrinkToFit="1"/>
      <protection locked="0"/>
    </xf>
    <xf numFmtId="0" fontId="26" fillId="2" borderId="0" xfId="0" applyFont="1" applyFill="1" applyAlignment="1" applyProtection="1">
      <alignment vertical="top" shrinkToFit="1"/>
      <protection locked="0"/>
    </xf>
    <xf numFmtId="0" fontId="51" fillId="2" borderId="0" xfId="0" applyFont="1" applyFill="1" applyAlignment="1">
      <alignment vertical="top" shrinkToFit="1"/>
    </xf>
    <xf numFmtId="165" fontId="5" fillId="3" borderId="4" xfId="0" applyNumberFormat="1" applyFont="1" applyFill="1" applyBorder="1" applyAlignment="1" applyProtection="1">
      <alignment vertical="top" shrinkToFit="1"/>
      <protection locked="0"/>
    </xf>
    <xf numFmtId="0" fontId="7" fillId="2" borderId="0" xfId="0" applyFont="1" applyFill="1" applyAlignment="1">
      <alignment horizontal="center" vertical="top" textRotation="90" shrinkToFit="1"/>
    </xf>
    <xf numFmtId="0" fontId="7" fillId="2" borderId="0" xfId="0" applyFont="1" applyFill="1" applyAlignment="1">
      <alignment horizontal="right" vertical="top" shrinkToFit="1"/>
    </xf>
    <xf numFmtId="0" fontId="7" fillId="2" borderId="0" xfId="0" applyFont="1" applyFill="1" applyAlignment="1">
      <alignment vertical="top" shrinkToFit="1"/>
    </xf>
    <xf numFmtId="0" fontId="5" fillId="2" borderId="0" xfId="0" applyFont="1" applyFill="1" applyAlignment="1">
      <alignment vertical="top" shrinkToFit="1"/>
    </xf>
    <xf numFmtId="0" fontId="5" fillId="2" borderId="0" xfId="0" applyFont="1" applyFill="1" applyAlignment="1">
      <alignment horizontal="center" vertical="top" shrinkToFit="1"/>
    </xf>
    <xf numFmtId="2" fontId="5" fillId="2" borderId="0" xfId="0" applyNumberFormat="1" applyFont="1" applyFill="1" applyAlignment="1">
      <alignment horizontal="center" vertical="top" shrinkToFit="1"/>
    </xf>
    <xf numFmtId="43" fontId="5" fillId="2" borderId="0" xfId="1" applyFont="1" applyFill="1" applyAlignment="1" applyProtection="1">
      <alignment horizontal="center" vertical="top" shrinkToFit="1"/>
    </xf>
    <xf numFmtId="0" fontId="5" fillId="0" borderId="0" xfId="0" applyFont="1" applyAlignment="1">
      <alignment vertical="top" shrinkToFit="1"/>
    </xf>
    <xf numFmtId="0" fontId="6" fillId="0" borderId="0" xfId="0" applyFont="1" applyAlignment="1">
      <alignment vertical="top" shrinkToFit="1"/>
    </xf>
    <xf numFmtId="0" fontId="5" fillId="0" borderId="0" xfId="0" applyFont="1" applyAlignment="1" applyProtection="1">
      <alignment horizontal="center" vertical="top" shrinkToFit="1"/>
      <protection locked="0"/>
    </xf>
    <xf numFmtId="49" fontId="5" fillId="0" borderId="0" xfId="0" applyNumberFormat="1" applyFont="1" applyAlignment="1" applyProtection="1">
      <alignment vertical="top" shrinkToFit="1"/>
      <protection locked="0"/>
    </xf>
    <xf numFmtId="0" fontId="5" fillId="0" borderId="0" xfId="0" applyFont="1" applyAlignment="1" applyProtection="1">
      <alignment vertical="top" shrinkToFit="1"/>
      <protection locked="0"/>
    </xf>
    <xf numFmtId="2" fontId="5" fillId="0" borderId="0" xfId="0" applyNumberFormat="1" applyFont="1" applyAlignment="1" applyProtection="1">
      <alignment horizontal="center" vertical="top" shrinkToFit="1"/>
      <protection locked="0"/>
    </xf>
    <xf numFmtId="43" fontId="5" fillId="0" borderId="0" xfId="1" applyFont="1" applyAlignment="1" applyProtection="1">
      <alignment horizontal="center" vertical="top" shrinkToFit="1"/>
      <protection locked="0"/>
    </xf>
    <xf numFmtId="1" fontId="5" fillId="0" borderId="0" xfId="0" applyNumberFormat="1" applyFont="1" applyAlignment="1" applyProtection="1">
      <alignment horizontal="center" vertical="top" shrinkToFit="1"/>
      <protection locked="0"/>
    </xf>
    <xf numFmtId="0" fontId="23" fillId="2" borderId="4" xfId="0" applyFont="1" applyFill="1" applyBorder="1" applyAlignment="1">
      <alignment horizontal="center" vertical="top" wrapText="1"/>
    </xf>
    <xf numFmtId="0" fontId="18" fillId="2" borderId="0" xfId="0" applyFont="1" applyFill="1" applyAlignment="1">
      <alignment horizontal="center" vertical="top"/>
    </xf>
    <xf numFmtId="0" fontId="40" fillId="0" borderId="0" xfId="0" applyFont="1" applyAlignment="1">
      <alignment horizontal="left" vertical="top" wrapText="1" shrinkToFit="1"/>
    </xf>
    <xf numFmtId="0" fontId="5" fillId="0" borderId="0" xfId="0" applyFont="1" applyAlignment="1">
      <alignment vertical="top" wrapText="1" shrinkToFit="1"/>
    </xf>
    <xf numFmtId="0" fontId="53" fillId="2" borderId="4" xfId="0" applyFont="1" applyFill="1" applyBorder="1" applyAlignment="1">
      <alignment horizontal="center" vertical="top" wrapText="1"/>
    </xf>
    <xf numFmtId="0" fontId="54" fillId="0" borderId="4" xfId="0" applyFont="1" applyBorder="1" applyAlignment="1" applyProtection="1">
      <alignment horizontal="left" vertical="top" wrapText="1"/>
      <protection locked="0"/>
    </xf>
    <xf numFmtId="0" fontId="54" fillId="0" borderId="4" xfId="0" applyFont="1" applyBorder="1" applyAlignment="1" applyProtection="1">
      <alignment horizontal="left" vertical="top" wrapText="1" shrinkToFit="1"/>
      <protection locked="0"/>
    </xf>
    <xf numFmtId="1" fontId="54" fillId="0" borderId="4" xfId="0" applyNumberFormat="1" applyFont="1" applyBorder="1" applyAlignment="1" applyProtection="1">
      <alignment horizontal="center" vertical="top" wrapText="1" shrinkToFit="1"/>
      <protection locked="0"/>
    </xf>
    <xf numFmtId="43" fontId="54" fillId="0" borderId="4" xfId="1" applyFont="1" applyFill="1" applyBorder="1" applyAlignment="1" applyProtection="1">
      <alignment horizontal="center" vertical="top" wrapText="1" shrinkToFit="1"/>
      <protection locked="0"/>
    </xf>
    <xf numFmtId="0" fontId="40" fillId="0" borderId="4" xfId="0" applyFont="1" applyBorder="1" applyAlignment="1" applyProtection="1">
      <alignment horizontal="left" vertical="top" wrapText="1"/>
      <protection locked="0"/>
    </xf>
    <xf numFmtId="0" fontId="40" fillId="0" borderId="4" xfId="0" applyFont="1" applyBorder="1" applyAlignment="1" applyProtection="1">
      <alignment horizontal="left" vertical="top" wrapText="1" shrinkToFit="1"/>
      <protection locked="0"/>
    </xf>
    <xf numFmtId="0" fontId="54" fillId="0" borderId="4" xfId="0" applyFont="1" applyBorder="1" applyAlignment="1" applyProtection="1">
      <alignment horizontal="center" vertical="top" wrapText="1" shrinkToFit="1"/>
      <protection locked="0"/>
    </xf>
    <xf numFmtId="165" fontId="40" fillId="0" borderId="4" xfId="0" applyNumberFormat="1" applyFont="1" applyBorder="1" applyAlignment="1" applyProtection="1">
      <alignment horizontal="center" vertical="top" wrapText="1" shrinkToFit="1"/>
      <protection locked="0"/>
    </xf>
    <xf numFmtId="0" fontId="54" fillId="0" borderId="4" xfId="0" applyFont="1" applyBorder="1" applyAlignment="1" applyProtection="1">
      <alignment horizontal="center" vertical="top" wrapText="1"/>
      <protection locked="0"/>
    </xf>
    <xf numFmtId="0" fontId="54" fillId="0" borderId="4" xfId="0" applyFont="1" applyBorder="1" applyAlignment="1" applyProtection="1">
      <alignment vertical="top" wrapText="1"/>
      <protection locked="0"/>
    </xf>
    <xf numFmtId="0" fontId="54" fillId="0" borderId="4" xfId="0" applyFont="1" applyBorder="1" applyAlignment="1" applyProtection="1">
      <alignment vertical="top" wrapText="1" shrinkToFit="1"/>
      <protection locked="0"/>
    </xf>
    <xf numFmtId="0" fontId="54" fillId="0" borderId="5" xfId="0" applyFont="1" applyBorder="1" applyAlignment="1" applyProtection="1">
      <alignment vertical="top" wrapText="1" shrinkToFit="1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vertical="top" wrapText="1"/>
      <protection locked="0"/>
    </xf>
    <xf numFmtId="0" fontId="19" fillId="0" borderId="4" xfId="0" applyFont="1" applyBorder="1" applyAlignment="1" applyProtection="1">
      <alignment vertical="top" wrapText="1" shrinkToFi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6" fillId="0" borderId="4" xfId="0" applyFont="1" applyBorder="1" applyAlignment="1" applyProtection="1">
      <alignment horizontal="left" vertical="top" wrapText="1" shrinkToFit="1"/>
      <protection locked="0"/>
    </xf>
    <xf numFmtId="0" fontId="54" fillId="0" borderId="1" xfId="0" applyFont="1" applyBorder="1" applyAlignment="1" applyProtection="1">
      <alignment horizontal="center" vertical="top" wrapText="1" shrinkToFit="1"/>
      <protection locked="0"/>
    </xf>
    <xf numFmtId="0" fontId="54" fillId="0" borderId="3" xfId="0" applyFont="1" applyBorder="1" applyAlignment="1" applyProtection="1">
      <alignment horizontal="center" vertical="top" wrapText="1" shrinkToFit="1"/>
      <protection locked="0"/>
    </xf>
    <xf numFmtId="0" fontId="41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right" vertical="top" shrinkToFit="1"/>
    </xf>
    <xf numFmtId="0" fontId="52" fillId="3" borderId="4" xfId="0" applyFont="1" applyFill="1" applyBorder="1" applyAlignment="1">
      <alignment horizontal="center" vertical="top" shrinkToFit="1"/>
    </xf>
    <xf numFmtId="0" fontId="26" fillId="2" borderId="0" xfId="0" applyFont="1" applyFill="1" applyAlignment="1">
      <alignment horizontal="right" vertical="top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8" fillId="5" borderId="2" xfId="0" applyFont="1" applyFill="1" applyBorder="1" applyAlignment="1">
      <alignment horizontal="center" vertical="center" shrinkToFit="1"/>
    </xf>
    <xf numFmtId="0" fontId="38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8" fillId="6" borderId="1" xfId="0" applyFont="1" applyFill="1" applyBorder="1" applyAlignment="1">
      <alignment horizontal="center" vertical="center" shrinkToFit="1"/>
    </xf>
    <xf numFmtId="0" fontId="38" fillId="6" borderId="2" xfId="0" applyFont="1" applyFill="1" applyBorder="1" applyAlignment="1">
      <alignment horizontal="center" vertical="center" shrinkToFit="1"/>
    </xf>
    <xf numFmtId="0" fontId="38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13</xdr:col>
      <xdr:colOff>494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30"/>
  <sheetViews>
    <sheetView showGridLines="0" tabSelected="1" zoomScale="106" zoomScaleNormal="106" zoomScaleSheetLayoutView="100" zoomScalePageLayoutView="120" workbookViewId="0">
      <pane ySplit="6" topLeftCell="A7" activePane="bottomLeft" state="frozen"/>
      <selection pane="bottomLeft" activeCell="O29" sqref="O29"/>
    </sheetView>
  </sheetViews>
  <sheetFormatPr defaultColWidth="9" defaultRowHeight="21.75"/>
  <cols>
    <col min="1" max="1" width="3.140625" style="101" customWidth="1"/>
    <col min="2" max="2" width="21.85546875" style="102" customWidth="1"/>
    <col min="3" max="3" width="23" style="103" bestFit="1" customWidth="1"/>
    <col min="4" max="4" width="7.42578125" style="103" customWidth="1"/>
    <col min="5" max="5" width="29.28515625" style="103" customWidth="1"/>
    <col min="6" max="6" width="12.28515625" style="103" customWidth="1"/>
    <col min="7" max="7" width="14.28515625" style="103" bestFit="1" customWidth="1"/>
    <col min="8" max="8" width="28.140625" style="101" customWidth="1"/>
    <col min="9" max="9" width="10.7109375" style="103" bestFit="1" customWidth="1"/>
    <col min="10" max="10" width="7" style="104" customWidth="1"/>
    <col min="11" max="11" width="6" style="105" customWidth="1"/>
    <col min="12" max="12" width="5.5703125" style="101" customWidth="1"/>
    <col min="13" max="13" width="5.28515625" style="106" customWidth="1"/>
    <col min="14" max="14" width="7.42578125" style="99" customWidth="1"/>
    <col min="15" max="16384" width="9" style="99"/>
  </cols>
  <sheetData>
    <row r="1" spans="1:15" s="80" customFormat="1" ht="19.5" customHeight="1">
      <c r="A1" s="108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79"/>
      <c r="O1" s="9"/>
    </row>
    <row r="2" spans="1:15" s="80" customFormat="1" ht="41.25" customHeight="1">
      <c r="A2" s="5"/>
      <c r="B2" s="81" t="s">
        <v>54</v>
      </c>
      <c r="C2" s="129" t="s">
        <v>102</v>
      </c>
      <c r="D2" s="130"/>
      <c r="E2" s="131" t="s">
        <v>70</v>
      </c>
      <c r="F2" s="131"/>
      <c r="G2" s="131"/>
      <c r="H2" s="131"/>
      <c r="I2" s="131"/>
      <c r="J2" s="131"/>
      <c r="K2" s="131"/>
      <c r="L2" s="131"/>
      <c r="M2" s="131"/>
    </row>
    <row r="3" spans="1:15" s="80" customFormat="1" ht="9" customHeight="1">
      <c r="A3" s="5"/>
      <c r="B3" s="3"/>
      <c r="C3" s="3"/>
      <c r="D3" s="3"/>
      <c r="E3" s="82"/>
      <c r="F3" s="82"/>
      <c r="G3" s="82"/>
      <c r="H3" s="82"/>
      <c r="I3" s="82"/>
      <c r="J3" s="83"/>
      <c r="K3" s="84"/>
      <c r="L3" s="82"/>
      <c r="M3" s="82"/>
    </row>
    <row r="4" spans="1:15" s="80" customFormat="1" ht="27.75">
      <c r="A4" s="6"/>
      <c r="B4" s="134" t="s">
        <v>58</v>
      </c>
      <c r="C4" s="134"/>
      <c r="D4" s="85">
        <v>14</v>
      </c>
      <c r="E4" s="86" t="s">
        <v>59</v>
      </c>
      <c r="F4" s="85">
        <v>10</v>
      </c>
      <c r="G4" s="87" t="s">
        <v>47</v>
      </c>
      <c r="H4" s="88">
        <v>2566</v>
      </c>
      <c r="I4" s="89" t="s">
        <v>72</v>
      </c>
      <c r="J4" s="133" t="s">
        <v>113</v>
      </c>
      <c r="K4" s="133"/>
      <c r="L4" s="90" t="s">
        <v>45</v>
      </c>
      <c r="M4" s="91">
        <v>45188</v>
      </c>
    </row>
    <row r="5" spans="1:15" s="100" customFormat="1" ht="7.5" customHeight="1">
      <c r="A5" s="92"/>
      <c r="B5" s="132"/>
      <c r="C5" s="132"/>
      <c r="D5" s="93"/>
      <c r="E5" s="93"/>
      <c r="F5" s="94"/>
      <c r="G5" s="95"/>
      <c r="H5" s="96"/>
      <c r="I5" s="95"/>
      <c r="J5" s="97"/>
      <c r="K5" s="98"/>
      <c r="L5" s="96"/>
      <c r="M5" s="96"/>
      <c r="N5" s="99"/>
      <c r="O5" s="99"/>
    </row>
    <row r="6" spans="1:15" s="78" customFormat="1" ht="45">
      <c r="A6" s="70" t="s">
        <v>0</v>
      </c>
      <c r="B6" s="111" t="s">
        <v>105</v>
      </c>
      <c r="C6" s="70" t="s">
        <v>1</v>
      </c>
      <c r="D6" s="71" t="s">
        <v>3</v>
      </c>
      <c r="E6" s="70" t="s">
        <v>66</v>
      </c>
      <c r="F6" s="72" t="s">
        <v>4</v>
      </c>
      <c r="G6" s="73" t="s">
        <v>5</v>
      </c>
      <c r="H6" s="70" t="s">
        <v>2</v>
      </c>
      <c r="I6" s="74" t="s">
        <v>43</v>
      </c>
      <c r="J6" s="75" t="s">
        <v>44</v>
      </c>
      <c r="K6" s="76" t="s">
        <v>68</v>
      </c>
      <c r="L6" s="77" t="s">
        <v>50</v>
      </c>
      <c r="M6" s="107" t="s">
        <v>6</v>
      </c>
    </row>
    <row r="7" spans="1:15" s="110" customFormat="1" ht="56.25">
      <c r="A7" s="120">
        <v>1</v>
      </c>
      <c r="B7" s="121" t="s">
        <v>75</v>
      </c>
      <c r="C7" s="122" t="s">
        <v>76</v>
      </c>
      <c r="D7" s="123" t="s">
        <v>51</v>
      </c>
      <c r="E7" s="112" t="s">
        <v>115</v>
      </c>
      <c r="F7" s="113" t="s">
        <v>106</v>
      </c>
      <c r="G7" s="113" t="s">
        <v>104</v>
      </c>
      <c r="H7" s="113" t="s">
        <v>102</v>
      </c>
      <c r="I7" s="119">
        <v>45182</v>
      </c>
      <c r="J7" s="114">
        <v>3</v>
      </c>
      <c r="K7" s="115">
        <v>0</v>
      </c>
      <c r="L7" s="118" t="s">
        <v>103</v>
      </c>
      <c r="M7" s="114">
        <v>2</v>
      </c>
    </row>
    <row r="8" spans="1:15" s="110" customFormat="1" ht="56.25">
      <c r="A8" s="120">
        <v>2</v>
      </c>
      <c r="B8" s="121" t="s">
        <v>77</v>
      </c>
      <c r="C8" s="122" t="s">
        <v>78</v>
      </c>
      <c r="D8" s="123" t="s">
        <v>51</v>
      </c>
      <c r="E8" s="112" t="s">
        <v>115</v>
      </c>
      <c r="F8" s="113" t="s">
        <v>106</v>
      </c>
      <c r="G8" s="113" t="s">
        <v>104</v>
      </c>
      <c r="H8" s="113" t="s">
        <v>102</v>
      </c>
      <c r="I8" s="119">
        <v>45182</v>
      </c>
      <c r="J8" s="114">
        <v>3</v>
      </c>
      <c r="K8" s="115">
        <v>0</v>
      </c>
      <c r="L8" s="118" t="s">
        <v>103</v>
      </c>
      <c r="M8" s="114">
        <v>2</v>
      </c>
    </row>
    <row r="9" spans="1:15" s="110" customFormat="1" ht="56.25">
      <c r="A9" s="120">
        <v>3</v>
      </c>
      <c r="B9" s="121" t="s">
        <v>107</v>
      </c>
      <c r="C9" s="122" t="s">
        <v>78</v>
      </c>
      <c r="D9" s="123" t="s">
        <v>51</v>
      </c>
      <c r="E9" s="112" t="s">
        <v>115</v>
      </c>
      <c r="F9" s="113" t="s">
        <v>106</v>
      </c>
      <c r="G9" s="113" t="s">
        <v>104</v>
      </c>
      <c r="H9" s="113" t="s">
        <v>102</v>
      </c>
      <c r="I9" s="119">
        <v>45182</v>
      </c>
      <c r="J9" s="114">
        <v>3</v>
      </c>
      <c r="K9" s="115">
        <v>0</v>
      </c>
      <c r="L9" s="118" t="s">
        <v>103</v>
      </c>
      <c r="M9" s="114">
        <v>2</v>
      </c>
    </row>
    <row r="10" spans="1:15" ht="56.25">
      <c r="A10" s="120">
        <v>4</v>
      </c>
      <c r="B10" s="121" t="s">
        <v>79</v>
      </c>
      <c r="C10" s="122" t="s">
        <v>93</v>
      </c>
      <c r="D10" s="123" t="s">
        <v>51</v>
      </c>
      <c r="E10" s="112" t="s">
        <v>115</v>
      </c>
      <c r="F10" s="113" t="s">
        <v>106</v>
      </c>
      <c r="G10" s="113" t="s">
        <v>104</v>
      </c>
      <c r="H10" s="113" t="s">
        <v>102</v>
      </c>
      <c r="I10" s="119">
        <v>45182</v>
      </c>
      <c r="J10" s="114">
        <v>3</v>
      </c>
      <c r="K10" s="115">
        <v>0</v>
      </c>
      <c r="L10" s="118" t="s">
        <v>103</v>
      </c>
      <c r="M10" s="114">
        <v>2</v>
      </c>
    </row>
    <row r="11" spans="1:15" ht="56.25">
      <c r="A11" s="120">
        <v>5</v>
      </c>
      <c r="B11" s="116" t="s">
        <v>109</v>
      </c>
      <c r="C11" s="117" t="s">
        <v>78</v>
      </c>
      <c r="D11" s="123" t="s">
        <v>51</v>
      </c>
      <c r="E11" s="112" t="s">
        <v>115</v>
      </c>
      <c r="F11" s="113" t="s">
        <v>106</v>
      </c>
      <c r="G11" s="113" t="s">
        <v>104</v>
      </c>
      <c r="H11" s="113" t="s">
        <v>102</v>
      </c>
      <c r="I11" s="119">
        <v>45182</v>
      </c>
      <c r="J11" s="114">
        <v>3</v>
      </c>
      <c r="K11" s="115">
        <v>0</v>
      </c>
      <c r="L11" s="118" t="s">
        <v>103</v>
      </c>
      <c r="M11" s="114">
        <v>2</v>
      </c>
    </row>
    <row r="12" spans="1:15" ht="56.25">
      <c r="A12" s="120">
        <v>6</v>
      </c>
      <c r="B12" s="121" t="s">
        <v>81</v>
      </c>
      <c r="C12" s="122" t="s">
        <v>82</v>
      </c>
      <c r="D12" s="122" t="s">
        <v>64</v>
      </c>
      <c r="E12" s="112" t="s">
        <v>115</v>
      </c>
      <c r="F12" s="113" t="s">
        <v>106</v>
      </c>
      <c r="G12" s="113" t="s">
        <v>104</v>
      </c>
      <c r="H12" s="113" t="s">
        <v>102</v>
      </c>
      <c r="I12" s="119">
        <v>45182</v>
      </c>
      <c r="J12" s="114">
        <v>3</v>
      </c>
      <c r="K12" s="115">
        <v>0</v>
      </c>
      <c r="L12" s="118" t="s">
        <v>103</v>
      </c>
      <c r="M12" s="114">
        <v>2</v>
      </c>
    </row>
    <row r="13" spans="1:15" ht="56.25">
      <c r="A13" s="120">
        <v>7</v>
      </c>
      <c r="B13" s="121" t="s">
        <v>83</v>
      </c>
      <c r="C13" s="122" t="s">
        <v>82</v>
      </c>
      <c r="D13" s="122" t="s">
        <v>64</v>
      </c>
      <c r="E13" s="112" t="s">
        <v>115</v>
      </c>
      <c r="F13" s="113" t="s">
        <v>106</v>
      </c>
      <c r="G13" s="113" t="s">
        <v>104</v>
      </c>
      <c r="H13" s="113" t="s">
        <v>102</v>
      </c>
      <c r="I13" s="119">
        <v>45182</v>
      </c>
      <c r="J13" s="114">
        <v>3</v>
      </c>
      <c r="K13" s="115">
        <v>0</v>
      </c>
      <c r="L13" s="118" t="s">
        <v>103</v>
      </c>
      <c r="M13" s="114">
        <v>2</v>
      </c>
    </row>
    <row r="14" spans="1:15" ht="56.25">
      <c r="A14" s="120">
        <v>8</v>
      </c>
      <c r="B14" s="121" t="s">
        <v>84</v>
      </c>
      <c r="C14" s="122" t="s">
        <v>82</v>
      </c>
      <c r="D14" s="122" t="s">
        <v>64</v>
      </c>
      <c r="E14" s="112" t="s">
        <v>115</v>
      </c>
      <c r="F14" s="113" t="s">
        <v>106</v>
      </c>
      <c r="G14" s="113" t="s">
        <v>104</v>
      </c>
      <c r="H14" s="113" t="s">
        <v>102</v>
      </c>
      <c r="I14" s="119">
        <v>45182</v>
      </c>
      <c r="J14" s="114">
        <v>3</v>
      </c>
      <c r="K14" s="115">
        <v>0</v>
      </c>
      <c r="L14" s="118" t="s">
        <v>103</v>
      </c>
      <c r="M14" s="114">
        <v>2</v>
      </c>
    </row>
    <row r="15" spans="1:15" ht="56.25">
      <c r="A15" s="120">
        <v>9</v>
      </c>
      <c r="B15" s="121" t="s">
        <v>87</v>
      </c>
      <c r="C15" s="122" t="s">
        <v>88</v>
      </c>
      <c r="D15" s="123" t="s">
        <v>51</v>
      </c>
      <c r="E15" s="112" t="s">
        <v>115</v>
      </c>
      <c r="F15" s="113" t="s">
        <v>106</v>
      </c>
      <c r="G15" s="113" t="s">
        <v>104</v>
      </c>
      <c r="H15" s="113" t="s">
        <v>102</v>
      </c>
      <c r="I15" s="119">
        <v>45182</v>
      </c>
      <c r="J15" s="114">
        <v>3</v>
      </c>
      <c r="K15" s="115">
        <v>0</v>
      </c>
      <c r="L15" s="118" t="s">
        <v>103</v>
      </c>
      <c r="M15" s="114">
        <v>2</v>
      </c>
    </row>
    <row r="16" spans="1:15" ht="56.25">
      <c r="A16" s="120">
        <v>10</v>
      </c>
      <c r="B16" s="121" t="s">
        <v>110</v>
      </c>
      <c r="C16" s="122" t="s">
        <v>88</v>
      </c>
      <c r="D16" s="123" t="s">
        <v>51</v>
      </c>
      <c r="E16" s="112" t="s">
        <v>115</v>
      </c>
      <c r="F16" s="113" t="s">
        <v>106</v>
      </c>
      <c r="G16" s="113" t="s">
        <v>104</v>
      </c>
      <c r="H16" s="113" t="s">
        <v>102</v>
      </c>
      <c r="I16" s="119">
        <v>45182</v>
      </c>
      <c r="J16" s="114">
        <v>3</v>
      </c>
      <c r="K16" s="115">
        <v>0</v>
      </c>
      <c r="L16" s="118" t="s">
        <v>103</v>
      </c>
      <c r="M16" s="114">
        <v>2</v>
      </c>
    </row>
    <row r="17" spans="1:13" s="109" customFormat="1" ht="56.25">
      <c r="A17" s="120">
        <v>11</v>
      </c>
      <c r="B17" s="116" t="s">
        <v>108</v>
      </c>
      <c r="C17" s="117" t="s">
        <v>78</v>
      </c>
      <c r="D17" s="123" t="s">
        <v>51</v>
      </c>
      <c r="E17" s="112" t="s">
        <v>115</v>
      </c>
      <c r="F17" s="113" t="s">
        <v>106</v>
      </c>
      <c r="G17" s="113" t="s">
        <v>104</v>
      </c>
      <c r="H17" s="113" t="s">
        <v>102</v>
      </c>
      <c r="I17" s="119">
        <v>45182</v>
      </c>
      <c r="J17" s="114">
        <v>3</v>
      </c>
      <c r="K17" s="115">
        <v>0</v>
      </c>
      <c r="L17" s="118" t="s">
        <v>103</v>
      </c>
      <c r="M17" s="114">
        <v>2</v>
      </c>
    </row>
    <row r="18" spans="1:13" ht="56.25">
      <c r="A18" s="120">
        <v>12</v>
      </c>
      <c r="B18" s="121" t="s">
        <v>114</v>
      </c>
      <c r="C18" s="122" t="s">
        <v>82</v>
      </c>
      <c r="D18" s="122" t="s">
        <v>64</v>
      </c>
      <c r="E18" s="112" t="s">
        <v>115</v>
      </c>
      <c r="F18" s="113" t="s">
        <v>106</v>
      </c>
      <c r="G18" s="113" t="s">
        <v>104</v>
      </c>
      <c r="H18" s="113" t="s">
        <v>102</v>
      </c>
      <c r="I18" s="119">
        <v>45182</v>
      </c>
      <c r="J18" s="114">
        <v>3</v>
      </c>
      <c r="K18" s="115">
        <v>0</v>
      </c>
      <c r="L18" s="118" t="s">
        <v>103</v>
      </c>
      <c r="M18" s="114">
        <v>2</v>
      </c>
    </row>
    <row r="19" spans="1:13" ht="56.25">
      <c r="A19" s="120">
        <v>13</v>
      </c>
      <c r="B19" s="121" t="s">
        <v>89</v>
      </c>
      <c r="C19" s="122" t="s">
        <v>82</v>
      </c>
      <c r="D19" s="122" t="s">
        <v>64</v>
      </c>
      <c r="E19" s="112" t="s">
        <v>115</v>
      </c>
      <c r="F19" s="113" t="s">
        <v>106</v>
      </c>
      <c r="G19" s="113" t="s">
        <v>104</v>
      </c>
      <c r="H19" s="113" t="s">
        <v>102</v>
      </c>
      <c r="I19" s="119">
        <v>45182</v>
      </c>
      <c r="J19" s="114">
        <v>3</v>
      </c>
      <c r="K19" s="115">
        <v>0</v>
      </c>
      <c r="L19" s="118" t="s">
        <v>103</v>
      </c>
      <c r="M19" s="114">
        <v>2</v>
      </c>
    </row>
    <row r="20" spans="1:13" ht="56.25">
      <c r="A20" s="120">
        <v>14</v>
      </c>
      <c r="B20" s="121" t="s">
        <v>90</v>
      </c>
      <c r="C20" s="122" t="s">
        <v>91</v>
      </c>
      <c r="D20" s="123" t="s">
        <v>51</v>
      </c>
      <c r="E20" s="112" t="s">
        <v>115</v>
      </c>
      <c r="F20" s="113" t="s">
        <v>106</v>
      </c>
      <c r="G20" s="113" t="s">
        <v>104</v>
      </c>
      <c r="H20" s="113" t="s">
        <v>102</v>
      </c>
      <c r="I20" s="119">
        <v>45182</v>
      </c>
      <c r="J20" s="114">
        <v>3</v>
      </c>
      <c r="K20" s="115">
        <v>0</v>
      </c>
      <c r="L20" s="118" t="s">
        <v>103</v>
      </c>
      <c r="M20" s="114">
        <v>2</v>
      </c>
    </row>
    <row r="21" spans="1:13" ht="56.25">
      <c r="A21" s="120">
        <v>15</v>
      </c>
      <c r="B21" s="121" t="s">
        <v>85</v>
      </c>
      <c r="C21" s="122" t="s">
        <v>86</v>
      </c>
      <c r="D21" s="123" t="s">
        <v>51</v>
      </c>
      <c r="E21" s="112" t="s">
        <v>115</v>
      </c>
      <c r="F21" s="113" t="s">
        <v>106</v>
      </c>
      <c r="G21" s="113" t="s">
        <v>104</v>
      </c>
      <c r="H21" s="113" t="s">
        <v>102</v>
      </c>
      <c r="I21" s="119">
        <v>45182</v>
      </c>
      <c r="J21" s="114">
        <v>3</v>
      </c>
      <c r="K21" s="115">
        <v>0</v>
      </c>
      <c r="L21" s="118" t="s">
        <v>103</v>
      </c>
      <c r="M21" s="114">
        <v>2</v>
      </c>
    </row>
    <row r="22" spans="1:13" ht="56.25">
      <c r="A22" s="120">
        <v>16</v>
      </c>
      <c r="B22" s="121" t="s">
        <v>92</v>
      </c>
      <c r="C22" s="122" t="s">
        <v>86</v>
      </c>
      <c r="D22" s="123" t="s">
        <v>51</v>
      </c>
      <c r="E22" s="112" t="s">
        <v>115</v>
      </c>
      <c r="F22" s="113" t="s">
        <v>116</v>
      </c>
      <c r="G22" s="113" t="s">
        <v>104</v>
      </c>
      <c r="H22" s="113" t="s">
        <v>102</v>
      </c>
      <c r="I22" s="119">
        <v>45182</v>
      </c>
      <c r="J22" s="114">
        <v>3</v>
      </c>
      <c r="K22" s="115">
        <v>0</v>
      </c>
      <c r="L22" s="118" t="s">
        <v>103</v>
      </c>
      <c r="M22" s="114">
        <v>2</v>
      </c>
    </row>
    <row r="23" spans="1:13" ht="56.25">
      <c r="A23" s="120">
        <v>17</v>
      </c>
      <c r="B23" s="121" t="s">
        <v>94</v>
      </c>
      <c r="C23" s="122" t="s">
        <v>95</v>
      </c>
      <c r="D23" s="122" t="s">
        <v>64</v>
      </c>
      <c r="E23" s="112" t="s">
        <v>115</v>
      </c>
      <c r="F23" s="113" t="s">
        <v>116</v>
      </c>
      <c r="G23" s="113" t="s">
        <v>104</v>
      </c>
      <c r="H23" s="113" t="s">
        <v>102</v>
      </c>
      <c r="I23" s="119">
        <v>45182</v>
      </c>
      <c r="J23" s="114">
        <v>3</v>
      </c>
      <c r="K23" s="115">
        <v>0</v>
      </c>
      <c r="L23" s="118" t="s">
        <v>103</v>
      </c>
      <c r="M23" s="114">
        <v>2</v>
      </c>
    </row>
    <row r="24" spans="1:13" ht="56.25">
      <c r="A24" s="120">
        <v>18</v>
      </c>
      <c r="B24" s="121" t="s">
        <v>96</v>
      </c>
      <c r="C24" s="122" t="s">
        <v>95</v>
      </c>
      <c r="D24" s="122" t="s">
        <v>64</v>
      </c>
      <c r="E24" s="112" t="s">
        <v>115</v>
      </c>
      <c r="F24" s="113" t="s">
        <v>116</v>
      </c>
      <c r="G24" s="113" t="s">
        <v>104</v>
      </c>
      <c r="H24" s="113" t="s">
        <v>102</v>
      </c>
      <c r="I24" s="119">
        <v>45182</v>
      </c>
      <c r="J24" s="114">
        <v>3</v>
      </c>
      <c r="K24" s="115">
        <v>0</v>
      </c>
      <c r="L24" s="118" t="s">
        <v>103</v>
      </c>
      <c r="M24" s="114">
        <v>2</v>
      </c>
    </row>
    <row r="25" spans="1:13" ht="56.25">
      <c r="A25" s="120">
        <v>19</v>
      </c>
      <c r="B25" s="121" t="s">
        <v>97</v>
      </c>
      <c r="C25" s="122" t="s">
        <v>82</v>
      </c>
      <c r="D25" s="122" t="s">
        <v>64</v>
      </c>
      <c r="E25" s="112" t="s">
        <v>115</v>
      </c>
      <c r="F25" s="113" t="s">
        <v>116</v>
      </c>
      <c r="G25" s="113" t="s">
        <v>104</v>
      </c>
      <c r="H25" s="113" t="s">
        <v>102</v>
      </c>
      <c r="I25" s="119">
        <v>45182</v>
      </c>
      <c r="J25" s="114">
        <v>3</v>
      </c>
      <c r="K25" s="115">
        <v>0</v>
      </c>
      <c r="L25" s="118" t="s">
        <v>103</v>
      </c>
      <c r="M25" s="114">
        <v>2</v>
      </c>
    </row>
    <row r="26" spans="1:13" ht="56.25">
      <c r="A26" s="120">
        <v>20</v>
      </c>
      <c r="B26" s="121" t="s">
        <v>98</v>
      </c>
      <c r="C26" s="122" t="s">
        <v>82</v>
      </c>
      <c r="D26" s="122" t="s">
        <v>64</v>
      </c>
      <c r="E26" s="112" t="s">
        <v>115</v>
      </c>
      <c r="F26" s="113" t="s">
        <v>116</v>
      </c>
      <c r="G26" s="113" t="s">
        <v>104</v>
      </c>
      <c r="H26" s="113" t="s">
        <v>102</v>
      </c>
      <c r="I26" s="119">
        <v>45182</v>
      </c>
      <c r="J26" s="114">
        <v>3</v>
      </c>
      <c r="K26" s="115">
        <v>0</v>
      </c>
      <c r="L26" s="118" t="s">
        <v>103</v>
      </c>
      <c r="M26" s="114">
        <v>2</v>
      </c>
    </row>
    <row r="27" spans="1:13" ht="56.25">
      <c r="A27" s="120">
        <v>21</v>
      </c>
      <c r="B27" s="121" t="s">
        <v>111</v>
      </c>
      <c r="C27" s="122" t="s">
        <v>112</v>
      </c>
      <c r="D27" s="123" t="s">
        <v>51</v>
      </c>
      <c r="E27" s="112" t="s">
        <v>115</v>
      </c>
      <c r="F27" s="113" t="s">
        <v>116</v>
      </c>
      <c r="G27" s="113" t="s">
        <v>104</v>
      </c>
      <c r="H27" s="113" t="s">
        <v>102</v>
      </c>
      <c r="I27" s="119">
        <v>45182</v>
      </c>
      <c r="J27" s="114">
        <v>3</v>
      </c>
      <c r="K27" s="115">
        <v>0</v>
      </c>
      <c r="L27" s="118" t="s">
        <v>103</v>
      </c>
      <c r="M27" s="114">
        <v>2</v>
      </c>
    </row>
    <row r="28" spans="1:13" ht="56.25">
      <c r="A28" s="120">
        <v>22</v>
      </c>
      <c r="B28" s="121" t="s">
        <v>99</v>
      </c>
      <c r="C28" s="122" t="s">
        <v>93</v>
      </c>
      <c r="D28" s="123" t="s">
        <v>51</v>
      </c>
      <c r="E28" s="112" t="s">
        <v>115</v>
      </c>
      <c r="F28" s="113" t="s">
        <v>116</v>
      </c>
      <c r="G28" s="113" t="s">
        <v>104</v>
      </c>
      <c r="H28" s="113" t="s">
        <v>102</v>
      </c>
      <c r="I28" s="119">
        <v>45182</v>
      </c>
      <c r="J28" s="114">
        <v>3</v>
      </c>
      <c r="K28" s="115">
        <v>0</v>
      </c>
      <c r="L28" s="118" t="s">
        <v>103</v>
      </c>
      <c r="M28" s="114">
        <v>2</v>
      </c>
    </row>
    <row r="29" spans="1:13" ht="56.25">
      <c r="A29" s="120">
        <v>23</v>
      </c>
      <c r="B29" s="121" t="s">
        <v>113</v>
      </c>
      <c r="C29" s="122" t="s">
        <v>80</v>
      </c>
      <c r="D29" s="123" t="s">
        <v>51</v>
      </c>
      <c r="E29" s="112" t="s">
        <v>115</v>
      </c>
      <c r="F29" s="113" t="s">
        <v>116</v>
      </c>
      <c r="G29" s="113" t="s">
        <v>104</v>
      </c>
      <c r="H29" s="113" t="s">
        <v>102</v>
      </c>
      <c r="I29" s="119">
        <v>45182</v>
      </c>
      <c r="J29" s="114">
        <v>3</v>
      </c>
      <c r="K29" s="115">
        <v>0</v>
      </c>
      <c r="L29" s="118" t="s">
        <v>103</v>
      </c>
      <c r="M29" s="114">
        <v>2</v>
      </c>
    </row>
    <row r="30" spans="1:13" ht="56.25">
      <c r="A30" s="120">
        <v>24</v>
      </c>
      <c r="B30" s="121" t="s">
        <v>100</v>
      </c>
      <c r="C30" s="122" t="s">
        <v>101</v>
      </c>
      <c r="D30" s="122" t="s">
        <v>64</v>
      </c>
      <c r="E30" s="112" t="s">
        <v>115</v>
      </c>
      <c r="F30" s="113" t="s">
        <v>116</v>
      </c>
      <c r="G30" s="113" t="s">
        <v>104</v>
      </c>
      <c r="H30" s="113" t="s">
        <v>102</v>
      </c>
      <c r="I30" s="119">
        <v>45182</v>
      </c>
      <c r="J30" s="114">
        <v>3</v>
      </c>
      <c r="K30" s="115">
        <v>0</v>
      </c>
      <c r="L30" s="118" t="s">
        <v>103</v>
      </c>
      <c r="M30" s="114">
        <v>2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836:D1334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35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35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35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35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35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35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41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82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view="pageBreakPreview" zoomScaleNormal="100" zoomScaleSheetLayoutView="100" zoomScalePageLayoutView="120" workbookViewId="0">
      <selection activeCell="T6" sqref="T6"/>
    </sheetView>
  </sheetViews>
  <sheetFormatPr defaultColWidth="9" defaultRowHeight="21.75"/>
  <cols>
    <col min="1" max="1" width="3.140625" style="17" customWidth="1"/>
    <col min="2" max="2" width="19.140625" style="17" customWidth="1"/>
    <col min="3" max="3" width="10.42578125" style="17" customWidth="1"/>
    <col min="4" max="4" width="8.28515625" style="17" customWidth="1"/>
    <col min="5" max="5" width="28.42578125" style="17" customWidth="1"/>
    <col min="6" max="6" width="8.7109375" style="17" customWidth="1"/>
    <col min="7" max="7" width="1.42578125" style="17" customWidth="1"/>
    <col min="8" max="8" width="12.28515625" style="17" customWidth="1"/>
    <col min="9" max="9" width="9.7109375" style="17" customWidth="1"/>
    <col min="10" max="10" width="7.42578125" style="25" customWidth="1"/>
    <col min="11" max="11" width="8.42578125" style="17" customWidth="1"/>
    <col min="12" max="12" width="9.28515625" style="17" customWidth="1"/>
    <col min="13" max="13" width="7" style="17" customWidth="1"/>
    <col min="14" max="14" width="0.85546875" style="17" customWidth="1"/>
    <col min="15" max="15" width="5.140625" style="21" customWidth="1"/>
    <col min="16" max="16384" width="9" style="17"/>
  </cols>
  <sheetData>
    <row r="1" spans="1:17" s="10" customFormat="1" ht="36.75" customHeight="1">
      <c r="A1" s="144" t="s">
        <v>69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48"/>
      <c r="O1" s="19"/>
      <c r="P1" s="8"/>
      <c r="Q1" s="9"/>
    </row>
    <row r="2" spans="1:17" s="10" customFormat="1" ht="24.75" customHeight="1">
      <c r="A2" s="5"/>
      <c r="B2" s="3"/>
      <c r="C2" s="27" t="s">
        <v>7</v>
      </c>
      <c r="D2" s="151" t="str">
        <f>เก็บข้อมูลHRD!C2</f>
        <v>ศูนย์เทคโนโลยีสารสนเทศและการสื่อสาร</v>
      </c>
      <c r="E2" s="151"/>
      <c r="F2" s="151"/>
      <c r="G2" s="151"/>
      <c r="H2" s="151"/>
      <c r="I2" s="151"/>
      <c r="J2" s="152" t="s">
        <v>72</v>
      </c>
      <c r="K2" s="152"/>
      <c r="L2" s="151" t="str">
        <f>เก็บข้อมูลHRD!J4</f>
        <v>นางสาวอารีย์ กุลอึ้ง</v>
      </c>
      <c r="M2" s="151"/>
      <c r="N2" s="49"/>
      <c r="O2" s="18"/>
    </row>
    <row r="3" spans="1:17" s="10" customFormat="1" ht="4.5" customHeight="1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8"/>
    </row>
    <row r="4" spans="1:17" s="10" customFormat="1" ht="25.5" customHeight="1">
      <c r="A4" s="6"/>
      <c r="B4" s="146" t="s">
        <v>46</v>
      </c>
      <c r="C4" s="147"/>
      <c r="D4" s="66">
        <f>เก็บข้อมูลHRD!D4</f>
        <v>14</v>
      </c>
      <c r="E4" s="28" t="s">
        <v>53</v>
      </c>
      <c r="F4" s="66">
        <f>เก็บข้อมูลHRD!F4</f>
        <v>10</v>
      </c>
      <c r="G4" s="29"/>
      <c r="H4" s="30" t="s">
        <v>47</v>
      </c>
      <c r="I4" s="148">
        <f>เก็บข้อมูลHRD!H4</f>
        <v>2566</v>
      </c>
      <c r="J4" s="149"/>
      <c r="K4" s="150" t="s">
        <v>45</v>
      </c>
      <c r="L4" s="150"/>
      <c r="M4" s="31">
        <f>เก็บข้อมูลHRD!L4:M4</f>
        <v>45188</v>
      </c>
      <c r="N4" s="50"/>
      <c r="O4" s="20"/>
    </row>
    <row r="5" spans="1:17" s="23" customFormat="1" ht="5.25" customHeight="1">
      <c r="A5" s="7"/>
      <c r="B5" s="143"/>
      <c r="C5" s="143"/>
      <c r="D5" s="26"/>
      <c r="E5" s="26"/>
      <c r="F5" s="2"/>
      <c r="G5" s="2"/>
      <c r="H5" s="4"/>
      <c r="I5" s="12"/>
      <c r="J5" s="4"/>
      <c r="K5" s="13"/>
      <c r="L5" s="15"/>
      <c r="M5" s="15"/>
      <c r="N5" s="15"/>
      <c r="O5" s="16"/>
      <c r="P5" s="22"/>
      <c r="Q5" s="22"/>
    </row>
    <row r="6" spans="1:17" s="23" customFormat="1" ht="25.5" customHeight="1">
      <c r="A6" s="162" t="s">
        <v>13</v>
      </c>
      <c r="B6" s="159" t="s">
        <v>34</v>
      </c>
      <c r="C6" s="160"/>
      <c r="D6" s="160"/>
      <c r="E6" s="160"/>
      <c r="F6" s="161"/>
      <c r="G6" s="32"/>
      <c r="H6" s="137" t="s">
        <v>32</v>
      </c>
      <c r="I6" s="137"/>
      <c r="J6" s="137"/>
      <c r="K6" s="136" t="s">
        <v>33</v>
      </c>
      <c r="L6" s="136"/>
      <c r="M6" s="136"/>
      <c r="N6" s="51"/>
      <c r="O6" s="16"/>
      <c r="P6" s="22"/>
      <c r="Q6" s="22"/>
    </row>
    <row r="7" spans="1:17" ht="24.95" customHeight="1">
      <c r="A7" s="163"/>
      <c r="B7" s="176" t="s">
        <v>51</v>
      </c>
      <c r="C7" s="177"/>
      <c r="D7" s="178"/>
      <c r="E7" s="174" t="s">
        <v>64</v>
      </c>
      <c r="F7" s="174"/>
      <c r="G7" s="35"/>
      <c r="H7" s="141" t="s">
        <v>15</v>
      </c>
      <c r="I7" s="141"/>
      <c r="J7" s="36">
        <f>COUNTIF(เก็บข้อมูลHRD!F7:F1841,"ความรู้/ทักษะเฉพาะทางในสายงาน")</f>
        <v>0</v>
      </c>
      <c r="K7" s="138" t="s">
        <v>48</v>
      </c>
      <c r="L7" s="138"/>
      <c r="M7" s="37">
        <f>COUNTIF(เก็บข้อมูลHRD!G7:G1841,"อบรมกับหน่วยงานนอกกรมฯ")</f>
        <v>0</v>
      </c>
      <c r="N7" s="53"/>
    </row>
    <row r="8" spans="1:17" ht="24.95" customHeight="1">
      <c r="A8" s="163"/>
      <c r="B8" s="156" t="s">
        <v>8</v>
      </c>
      <c r="C8" s="156"/>
      <c r="D8" s="33">
        <f t="array" ref="D8">COUNTIFS(เก็บข้อมูลHRD!D7:D1841,"ข้าราชการ",เก็บข้อมูลHRD!M7:M1841,"1")</f>
        <v>0</v>
      </c>
      <c r="E8" s="34" t="s">
        <v>10</v>
      </c>
      <c r="F8" s="33">
        <f t="array" ref="F8">COUNTIFS(เก็บข้อมูลHRD!D7:D1841,"พนักงานราชการ",เก็บข้อมูลHRD!M7:M1841,"1")</f>
        <v>0</v>
      </c>
      <c r="G8" s="35"/>
      <c r="H8" s="141" t="s">
        <v>16</v>
      </c>
      <c r="I8" s="141"/>
      <c r="J8" s="36">
        <f>COUNTIF(เก็บข้อมูลHRD!F7:F1841,"ภาษา")</f>
        <v>0</v>
      </c>
      <c r="K8" s="153" t="s">
        <v>40</v>
      </c>
      <c r="L8" s="153"/>
      <c r="M8" s="37">
        <f>COUNTIF(เก็บข้อมูลHRD!G7:G1841,"อบรมกับหน่วยงานในกรมฯ")</f>
        <v>0</v>
      </c>
      <c r="N8" s="53"/>
      <c r="P8" s="24"/>
    </row>
    <row r="9" spans="1:17" ht="24.95" customHeight="1">
      <c r="A9" s="163"/>
      <c r="B9" s="156" t="s">
        <v>9</v>
      </c>
      <c r="C9" s="156"/>
      <c r="D9" s="38">
        <f t="array" ref="D9">SUMPRODUCT(IF(เก็บข้อมูลHRD!D7:D1841="ข้าราชการ",IF(เก็บข้อมูลHRD!B7:B1841&lt;&gt;"",IF(เก็บข้อมูลHRD!M7:M1841=1,1/COUNTIFS(เก็บข้อมูลHRD!B7:B1841,เก็บข้อมูลHRD!B7:B1841,เก็บข้อมูลHRD!D7:D1841,"ข้าราชการ",เก็บข้อมูลHRD!B7:B1841,"&lt;&gt;",เก็บข้อมูลHRD!M7:M1841,"=1")))))</f>
        <v>0</v>
      </c>
      <c r="E9" s="34" t="s">
        <v>11</v>
      </c>
      <c r="F9" s="33">
        <f t="array" ref="F9">SUMPRODUCT(IF(เก็บข้อมูลHRD!D7:D1841="พนักงานราชการ",IF(เก็บข้อมูลHRD!B7:B1841&lt;&gt;"",IF(เก็บข้อมูลHRD!M7:M1841=1,1/COUNTIFS(เก็บข้อมูลHRD!B7:B1841,เก็บข้อมูลHRD!B7:B1841,เก็บข้อมูลHRD!D7:D1841,"พนักงานราชการ",เก็บข้อมูลHRD!B7:B1841,"&lt;&gt;",เก็บข้อมูลHRD!M7:M1841,"=1")))))</f>
        <v>0</v>
      </c>
      <c r="G9" s="40"/>
      <c r="H9" s="141" t="s">
        <v>17</v>
      </c>
      <c r="I9" s="141"/>
      <c r="J9" s="36">
        <f>COUNTIF(เก็บข้อมูลHRD!F7:F1841,"ภาวะผู้นำ/คุณธรรม/จริยธรรม")</f>
        <v>0</v>
      </c>
      <c r="K9" s="138" t="s">
        <v>49</v>
      </c>
      <c r="L9" s="138"/>
      <c r="M9" s="37">
        <f>COUNTIF(เก็บข้อมูลHRD!G7:G1841,"e-Learning")</f>
        <v>0</v>
      </c>
      <c r="N9" s="53"/>
    </row>
    <row r="10" spans="1:17" ht="24.95" customHeight="1">
      <c r="A10" s="164"/>
      <c r="B10" s="156" t="s">
        <v>73</v>
      </c>
      <c r="C10" s="156"/>
      <c r="D10" s="39">
        <f t="array" ref="D10">D9/D4*100</f>
        <v>0</v>
      </c>
      <c r="E10" s="34" t="s">
        <v>74</v>
      </c>
      <c r="F10" s="39">
        <f t="array" ref="F10">F9/F4*100</f>
        <v>0</v>
      </c>
      <c r="G10" s="41"/>
      <c r="H10" s="141" t="s">
        <v>18</v>
      </c>
      <c r="I10" s="141"/>
      <c r="J10" s="36">
        <f t="array" ref="J10">COUNTIF(เก็บข้อมูลHRD!F7:F841,"จิตอาสา/บริการ")</f>
        <v>0</v>
      </c>
      <c r="K10" s="138" t="s">
        <v>23</v>
      </c>
      <c r="L10" s="138"/>
      <c r="M10" s="37">
        <f>COUNTIF(เก็บข้อมูลHRD!G7:G1841,"ชุมชนนักปฏิบัติ(CoP)")</f>
        <v>24</v>
      </c>
      <c r="N10" s="53"/>
    </row>
    <row r="11" spans="1:17" ht="24.95" customHeight="1">
      <c r="A11" s="171" t="s">
        <v>14</v>
      </c>
      <c r="B11" s="168" t="s">
        <v>35</v>
      </c>
      <c r="C11" s="169"/>
      <c r="D11" s="169"/>
      <c r="E11" s="169"/>
      <c r="F11" s="170"/>
      <c r="G11" s="35"/>
      <c r="H11" s="141" t="s">
        <v>19</v>
      </c>
      <c r="I11" s="141"/>
      <c r="J11" s="36">
        <f>COUNTIF(เก็บข้อมูลHRD!F7:F1841,"ความรับผิดชอบ/ซื่อสัตย์สุจริต")</f>
        <v>0</v>
      </c>
      <c r="K11" s="138" t="s">
        <v>26</v>
      </c>
      <c r="L11" s="138"/>
      <c r="M11" s="37">
        <f>COUNTIF(เก็บข้อมูลHRD!G7:G1841,"สอนงาน")</f>
        <v>0</v>
      </c>
      <c r="N11" s="53"/>
    </row>
    <row r="12" spans="1:17" ht="24.95" customHeight="1">
      <c r="A12" s="172"/>
      <c r="B12" s="165" t="s">
        <v>51</v>
      </c>
      <c r="C12" s="166"/>
      <c r="D12" s="167"/>
      <c r="E12" s="175" t="s">
        <v>64</v>
      </c>
      <c r="F12" s="175"/>
      <c r="G12" s="35"/>
      <c r="H12" s="141" t="s">
        <v>20</v>
      </c>
      <c r="I12" s="141"/>
      <c r="J12" s="36">
        <f>COUNTIF(เก็บข้อมูลHRD!F7:F1841,"ทำงานเป็นทีม")</f>
        <v>0</v>
      </c>
      <c r="K12" s="138" t="s">
        <v>27</v>
      </c>
      <c r="L12" s="138"/>
      <c r="M12" s="37">
        <f>COUNTIF(เก็บข้อมูลHRD!G7:G1841,"มอบหมายงาน")</f>
        <v>0</v>
      </c>
      <c r="N12" s="53"/>
    </row>
    <row r="13" spans="1:17" ht="24.95" customHeight="1">
      <c r="A13" s="172"/>
      <c r="B13" s="140" t="s">
        <v>8</v>
      </c>
      <c r="C13" s="140"/>
      <c r="D13" s="33">
        <f t="array" ref="D13">COUNTIFS(เก็บข้อมูลHRD!D7:D1841,"ข้าราชการ",เก็บข้อมูลHRD!M7:M1841,"2")</f>
        <v>14</v>
      </c>
      <c r="E13" s="34" t="s">
        <v>10</v>
      </c>
      <c r="F13" s="33">
        <f t="array" ref="F13">COUNTIFS(เก็บข้อมูลHRD!D7:D1841,"พนักงานราชการ",เก็บข้อมูลHRD!M7:M1841,"2")</f>
        <v>10</v>
      </c>
      <c r="G13" s="40"/>
      <c r="H13" s="141" t="s">
        <v>24</v>
      </c>
      <c r="I13" s="141"/>
      <c r="J13" s="36">
        <f>COUNTIF(เก็บข้อมูลHRD!F7:F1841,"คิดค้น/ใช้นวัตกรรมใหม่ๆ")</f>
        <v>0</v>
      </c>
      <c r="K13" s="138" t="s">
        <v>28</v>
      </c>
      <c r="L13" s="138"/>
      <c r="M13" s="37">
        <f>COUNTIF(เก็บข้อมูลHRD!G7:G1841,"ดูงานนอกสถานที่")</f>
        <v>0</v>
      </c>
      <c r="N13" s="53"/>
      <c r="Q13" s="17" t="s">
        <v>56</v>
      </c>
    </row>
    <row r="14" spans="1:17" ht="24.95" customHeight="1">
      <c r="A14" s="172"/>
      <c r="B14" s="140" t="s">
        <v>9</v>
      </c>
      <c r="C14" s="140"/>
      <c r="D14" s="33">
        <f t="array" ref="D14">SUMPRODUCT(IF(เก็บข้อมูลHRD!D7:D1841="ข้าราชการ",IF(เก็บข้อมูลHRD!B7:B1841&lt;&gt;"",IF(เก็บข้อมูลHRD!M7:M1841=2,1/COUNTIFS(เก็บข้อมูลHRD!B7:B1841,เก็บข้อมูลHRD!B7:B1841,เก็บข้อมูลHRD!D7:D1841,"ข้าราชการ",เก็บข้อมูลHRD!B7:B1841,"&lt;&gt;",เก็บข้อมูลHRD!M7:M1841,"=2")))))</f>
        <v>14</v>
      </c>
      <c r="E14" s="34" t="s">
        <v>11</v>
      </c>
      <c r="F14" s="33">
        <f t="array" ref="F14">SUMPRODUCT(IF(เก็บข้อมูลHRD!D7:D1841="พนักงานราชการ",IF(เก็บข้อมูลHRD!B7:B1841&lt;&gt;"",IF(เก็บข้อมูลHRD!M7:M1841=2,1/COUNTIFS(เก็บข้อมูลHRD!B7:B1841,เก็บข้อมูลHRD!B7:B1841,เก็บข้อมูลHRD!D7:D1841,"พนักงานราชการ",เก็บข้อมูลHRD!B7:B1841,"&lt;&gt;",เก็บข้อมูลHRD!M7:M1841,"=2")))))</f>
        <v>10</v>
      </c>
      <c r="G14" s="41"/>
      <c r="H14" s="141" t="s">
        <v>25</v>
      </c>
      <c r="I14" s="141"/>
      <c r="J14" s="36">
        <f>COUNTIF(เก็บข้อมูลHRD!F7:F1841,"กฎหมาย/กฎระเบียบฯ")</f>
        <v>9</v>
      </c>
      <c r="K14" s="138" t="s">
        <v>29</v>
      </c>
      <c r="L14" s="138"/>
      <c r="M14" s="37">
        <f>COUNTIF(เก็บข้อมูลHRD!G7:G1841,"หมุนเวียนงาน")</f>
        <v>0</v>
      </c>
      <c r="N14" s="53"/>
    </row>
    <row r="15" spans="1:17" ht="24.95" customHeight="1">
      <c r="A15" s="173"/>
      <c r="B15" s="140" t="s">
        <v>73</v>
      </c>
      <c r="C15" s="140"/>
      <c r="D15" s="39">
        <f>D14/D4*100</f>
        <v>100</v>
      </c>
      <c r="E15" s="34" t="s">
        <v>74</v>
      </c>
      <c r="F15" s="39">
        <f>F14/F4*100</f>
        <v>100</v>
      </c>
      <c r="G15" s="35"/>
      <c r="H15" s="141" t="s">
        <v>21</v>
      </c>
      <c r="I15" s="141"/>
      <c r="J15" s="36">
        <f>COUNTIF(เก็บข้อมูลHRD!F7:F1841,"การใช้เทคโนโลยี")</f>
        <v>15</v>
      </c>
      <c r="K15" s="138" t="s">
        <v>30</v>
      </c>
      <c r="L15" s="138"/>
      <c r="M15" s="37">
        <f>COUNTIF(เก็บข้อมูลHRD!G7:G1841,"เรียนรู้ด้วยตนเอง")</f>
        <v>0</v>
      </c>
      <c r="N15" s="53"/>
    </row>
    <row r="16" spans="1:17" ht="24.95" customHeight="1">
      <c r="A16" s="183" t="s">
        <v>12</v>
      </c>
      <c r="B16" s="157" t="s">
        <v>36</v>
      </c>
      <c r="C16" s="157"/>
      <c r="D16" s="157"/>
      <c r="E16" s="157"/>
      <c r="F16" s="158"/>
      <c r="G16" s="35"/>
      <c r="H16" s="141" t="s">
        <v>22</v>
      </c>
      <c r="I16" s="141"/>
      <c r="J16" s="36">
        <f>COUNTIF(เก็บข้อมูลHRD!F7:F1841,"ทักษะการคิด")</f>
        <v>0</v>
      </c>
      <c r="K16" s="138" t="s">
        <v>31</v>
      </c>
      <c r="L16" s="138"/>
      <c r="M16" s="37">
        <f>COUNTIF(เก็บข้อมูลHRD!G7:G1841,"อื่นๆ")</f>
        <v>0</v>
      </c>
      <c r="N16" s="53"/>
    </row>
    <row r="17" spans="1:18" ht="23.25" customHeight="1">
      <c r="A17" s="183"/>
      <c r="B17" s="157" t="s">
        <v>51</v>
      </c>
      <c r="C17" s="157"/>
      <c r="D17" s="158"/>
      <c r="E17" s="184" t="s">
        <v>64</v>
      </c>
      <c r="F17" s="184"/>
      <c r="G17" s="40"/>
      <c r="H17" s="139" t="s">
        <v>52</v>
      </c>
      <c r="I17" s="139"/>
      <c r="J17" s="60">
        <f>SUM(J7:J16)</f>
        <v>24</v>
      </c>
      <c r="K17" s="139" t="s">
        <v>52</v>
      </c>
      <c r="L17" s="139"/>
      <c r="M17" s="61">
        <f>SUM(M7:M16)</f>
        <v>24</v>
      </c>
      <c r="N17" s="53"/>
    </row>
    <row r="18" spans="1:18" ht="24.95" customHeight="1">
      <c r="A18" s="183"/>
      <c r="B18" s="142" t="s">
        <v>8</v>
      </c>
      <c r="C18" s="140"/>
      <c r="D18" s="33">
        <f>COUNTIF(เก็บข้อมูลHRD!D7:D1841,"ข้าราชการ")</f>
        <v>14</v>
      </c>
      <c r="E18" s="34" t="s">
        <v>10</v>
      </c>
      <c r="F18" s="33">
        <f t="array" ref="F18">COUNTIF(เก็บข้อมูลHRD!D7:D1841,"พนักงานราชการ")</f>
        <v>10</v>
      </c>
      <c r="G18" s="41"/>
      <c r="H18" s="180" t="s">
        <v>65</v>
      </c>
      <c r="I18" s="181"/>
      <c r="J18" s="181"/>
      <c r="K18" s="181"/>
      <c r="L18" s="181"/>
      <c r="M18" s="181"/>
      <c r="N18" s="41"/>
    </row>
    <row r="19" spans="1:18" ht="28.5" customHeight="1">
      <c r="A19" s="183"/>
      <c r="B19" s="142" t="s">
        <v>9</v>
      </c>
      <c r="C19" s="140"/>
      <c r="D19" s="33">
        <f t="array" ref="D19">SUMPRODUCT(IF(เก็บข้อมูลHRD!D7:D1841="ข้าราชการ",IF(เก็บข้อมูลHRD!B7:B1841&lt;&gt;"",1/COUNTIFS(เก็บข้อมูลHRD!B7:B1841,เก็บข้อมูลHRD!B7:B1841,เก็บข้อมูลHRD!D7:D1841,"ข้าราชการ",เก็บข้อมูลHRD!B7:B1841,"&lt;&gt;"))))</f>
        <v>14</v>
      </c>
      <c r="E19" s="34" t="s">
        <v>11</v>
      </c>
      <c r="F19" s="33">
        <f t="array" ref="F19">SUMPRODUCT(IF(เก็บข้อมูลHRD!D7:D1841="พนักงานราชการ",IF(เก็บข้อมูลHRD!B7:B1841&lt;&gt;"",1/COUNTIFS(เก็บข้อมูลHRD!B7:B1841,เก็บข้อมูลHRD!B7:B1841,เก็บข้อมูลHRD!D7:D1841,"พนักงานราชการ",เก็บข้อมูลHRD!B7:B1841,"&lt;&gt;"))))</f>
        <v>10</v>
      </c>
      <c r="G19" s="40"/>
      <c r="H19" s="182"/>
      <c r="I19" s="182"/>
      <c r="J19" s="182"/>
      <c r="K19" s="182"/>
      <c r="L19" s="182"/>
      <c r="M19" s="182"/>
      <c r="N19" s="52"/>
    </row>
    <row r="20" spans="1:18" ht="24.95" customHeight="1">
      <c r="A20" s="183"/>
      <c r="B20" s="142" t="s">
        <v>73</v>
      </c>
      <c r="C20" s="140"/>
      <c r="D20" s="39">
        <f>D19/D4*100</f>
        <v>100</v>
      </c>
      <c r="E20" s="34" t="s">
        <v>74</v>
      </c>
      <c r="F20" s="39">
        <f>F19/F4*100</f>
        <v>100</v>
      </c>
      <c r="G20" s="41"/>
      <c r="H20" s="182"/>
      <c r="I20" s="182"/>
      <c r="J20" s="182"/>
      <c r="K20" s="182"/>
      <c r="L20" s="182"/>
      <c r="M20" s="182"/>
      <c r="N20" s="46"/>
    </row>
    <row r="21" spans="1:18" ht="25.5" customHeight="1">
      <c r="A21" s="183"/>
      <c r="B21" s="154" t="s">
        <v>39</v>
      </c>
      <c r="C21" s="154"/>
      <c r="D21" s="154"/>
      <c r="E21" s="154"/>
      <c r="F21" s="155"/>
      <c r="G21" s="67"/>
      <c r="H21" s="182"/>
      <c r="I21" s="182"/>
      <c r="J21" s="182"/>
      <c r="K21" s="182"/>
      <c r="L21" s="182"/>
      <c r="M21" s="182"/>
      <c r="N21" s="46"/>
      <c r="R21" s="17" t="s">
        <v>56</v>
      </c>
    </row>
    <row r="22" spans="1:18" ht="24" customHeight="1">
      <c r="A22" s="183"/>
      <c r="B22" s="185" t="s">
        <v>38</v>
      </c>
      <c r="C22" s="186"/>
      <c r="D22" s="42">
        <f t="array" ref="D22">SUMPRODUCT(IF(เก็บข้อมูลHRD!L7:L1841="มี",IF(เก็บข้อมูลHRD!B7:B1841&lt;&gt;"",1/COUNTIFS(เก็บข้อมูลHRD!B7:B1841,เก็บข้อมูลHRD!B7:B1841,เก็บข้อมูลHRD!L7:L1841,"มี",เก็บข้อมูลHRD!B7:B1841,"&lt;&gt;"))))</f>
        <v>24</v>
      </c>
      <c r="E22" s="34" t="s">
        <v>37</v>
      </c>
      <c r="F22" s="39">
        <f t="array" ref="F22">(D22/SUMPRODUCT((เก็บข้อมูลHRD!B7:B1841&lt;&gt;"")/COUNTIF(เก็บข้อมูลHRD!B7:B1841,เก็บข้อมูลHRD!B7:B1841&amp;"")))*100</f>
        <v>100</v>
      </c>
      <c r="G22" s="46"/>
      <c r="H22" s="182"/>
      <c r="I22" s="182"/>
      <c r="J22" s="182"/>
      <c r="K22" s="182"/>
      <c r="L22" s="182"/>
      <c r="M22" s="182"/>
      <c r="N22" s="46"/>
    </row>
    <row r="23" spans="1:18" ht="24">
      <c r="A23" s="183"/>
      <c r="B23" s="154" t="s">
        <v>41</v>
      </c>
      <c r="C23" s="154"/>
      <c r="D23" s="154"/>
      <c r="E23" s="154"/>
      <c r="F23" s="155"/>
      <c r="G23" s="46"/>
      <c r="H23" s="182"/>
      <c r="I23" s="182"/>
      <c r="J23" s="182"/>
      <c r="K23" s="182"/>
      <c r="L23" s="182"/>
      <c r="M23" s="182"/>
      <c r="N23" s="46"/>
    </row>
    <row r="24" spans="1:18" ht="21.75" customHeight="1">
      <c r="A24" s="183"/>
      <c r="B24" s="185" t="s">
        <v>42</v>
      </c>
      <c r="C24" s="186"/>
      <c r="D24" s="43">
        <f t="array" ref="D24">SUM(เก็บข้อมูลHRD!K7:K1841)</f>
        <v>0</v>
      </c>
      <c r="E24" s="44" t="s">
        <v>57</v>
      </c>
      <c r="F24" s="45" t="e">
        <f t="array" ref="F24">AVERAGEIF(เก็บข้อมูลHRD!K7:K1841,"&lt;&gt;0")</f>
        <v>#DIV/0!</v>
      </c>
      <c r="G24" s="46"/>
      <c r="H24" s="179" t="s">
        <v>60</v>
      </c>
      <c r="I24" s="179"/>
      <c r="J24" s="179"/>
      <c r="K24" s="179"/>
      <c r="L24" s="179"/>
      <c r="M24" s="46"/>
      <c r="N24" s="46"/>
    </row>
    <row r="25" spans="1:18">
      <c r="B25" s="135"/>
      <c r="C25" s="135"/>
      <c r="D25" s="135"/>
      <c r="E25" s="13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28"/>
  <sheetViews>
    <sheetView view="pageBreakPreview" topLeftCell="A13" zoomScaleNormal="100" zoomScaleSheetLayoutView="100" workbookViewId="0">
      <selection activeCell="B23" sqref="B23"/>
    </sheetView>
  </sheetViews>
  <sheetFormatPr defaultColWidth="9" defaultRowHeight="26.25"/>
  <cols>
    <col min="1" max="1" width="10.42578125" style="63" customWidth="1"/>
    <col min="2" max="2" width="42" style="64" customWidth="1"/>
    <col min="3" max="3" width="37.5703125" style="65" customWidth="1"/>
    <col min="4" max="4" width="44.7109375" style="63" customWidth="1"/>
    <col min="5" max="16384" width="9" style="54"/>
  </cols>
  <sheetData>
    <row r="1" spans="1:4" ht="36">
      <c r="A1" s="188" t="s">
        <v>62</v>
      </c>
      <c r="B1" s="188"/>
      <c r="C1" s="188"/>
      <c r="D1" s="188"/>
    </row>
    <row r="2" spans="1:4" ht="92.25" customHeight="1">
      <c r="A2" s="187" t="s">
        <v>71</v>
      </c>
      <c r="B2" s="187"/>
      <c r="C2" s="187"/>
      <c r="D2" s="187"/>
    </row>
    <row r="3" spans="1:4" ht="186.75" customHeight="1">
      <c r="A3" s="187" t="s">
        <v>67</v>
      </c>
      <c r="B3" s="187"/>
      <c r="C3" s="187"/>
      <c r="D3" s="187"/>
    </row>
    <row r="4" spans="1:4" s="58" customFormat="1" ht="52.5">
      <c r="A4" s="55" t="s">
        <v>55</v>
      </c>
      <c r="B4" s="56" t="s">
        <v>61</v>
      </c>
      <c r="C4" s="57" t="s">
        <v>1</v>
      </c>
      <c r="D4" s="59" t="s">
        <v>63</v>
      </c>
    </row>
    <row r="5" spans="1:4">
      <c r="A5" s="124">
        <v>1</v>
      </c>
      <c r="B5" s="68" t="s">
        <v>75</v>
      </c>
      <c r="C5" s="69" t="s">
        <v>76</v>
      </c>
      <c r="D5" s="62" t="str">
        <f>IF(COUNTIF(เก็บข้อมูลHRD!$B$7:$B$1841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124">
        <v>2</v>
      </c>
      <c r="B6" s="68" t="s">
        <v>77</v>
      </c>
      <c r="C6" s="69" t="s">
        <v>78</v>
      </c>
      <c r="D6" s="62" t="str">
        <f>IF(COUNTIF(เก็บข้อมูลHRD!$B$7:$B$1841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124">
        <v>3</v>
      </c>
      <c r="B7" s="68" t="s">
        <v>107</v>
      </c>
      <c r="C7" s="69" t="s">
        <v>78</v>
      </c>
      <c r="D7" s="62" t="str">
        <f>IF(COUNTIF(เก็บข้อมูลHRD!$B$7:$B$1841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124">
        <v>4</v>
      </c>
      <c r="B8" s="68" t="s">
        <v>79</v>
      </c>
      <c r="C8" s="69" t="s">
        <v>80</v>
      </c>
      <c r="D8" s="62" t="str">
        <f>IF(COUNTIF(เก็บข้อมูลHRD!$B$7:$B$1841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124">
        <v>5</v>
      </c>
      <c r="B9" s="68" t="s">
        <v>109</v>
      </c>
      <c r="C9" s="69" t="s">
        <v>78</v>
      </c>
      <c r="D9" s="62" t="str">
        <f>IF(COUNTIF(เก็บข้อมูลHRD!$B$7:$B$1841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124">
        <v>6</v>
      </c>
      <c r="B10" s="68" t="s">
        <v>81</v>
      </c>
      <c r="C10" s="69" t="s">
        <v>82</v>
      </c>
      <c r="D10" s="62" t="str">
        <f>IF(COUNTIF(เก็บข้อมูลHRD!$B$7:$B$1841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124">
        <v>7</v>
      </c>
      <c r="B11" s="68" t="s">
        <v>83</v>
      </c>
      <c r="C11" s="69" t="s">
        <v>82</v>
      </c>
      <c r="D11" s="62" t="str">
        <f>IF(COUNTIF(เก็บข้อมูลHRD!$B$7:$B$1841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124">
        <v>8</v>
      </c>
      <c r="B12" s="68" t="s">
        <v>84</v>
      </c>
      <c r="C12" s="69" t="s">
        <v>82</v>
      </c>
      <c r="D12" s="62" t="str">
        <f>IF(COUNTIF(เก็บข้อมูลHRD!$B$7:$B$1841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124">
        <v>9</v>
      </c>
      <c r="B13" s="68" t="s">
        <v>87</v>
      </c>
      <c r="C13" s="69" t="s">
        <v>88</v>
      </c>
      <c r="D13" s="62" t="str">
        <f>IF(COUNTIF(เก็บข้อมูลHRD!$B$7:$B$1841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124">
        <v>10</v>
      </c>
      <c r="B14" s="125" t="s">
        <v>110</v>
      </c>
      <c r="C14" s="126" t="s">
        <v>88</v>
      </c>
      <c r="D14" s="62" t="str">
        <f>IF(COUNTIF(เก็บข้อมูลHRD!$B$7:$B$1841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124">
        <v>11</v>
      </c>
      <c r="B15" s="127" t="s">
        <v>108</v>
      </c>
      <c r="C15" s="128" t="s">
        <v>78</v>
      </c>
      <c r="D15" s="62" t="str">
        <f>IF(COUNTIF(เก็บข้อมูลHRD!$B$7:$B$1841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124">
        <v>12</v>
      </c>
      <c r="B16" s="68" t="s">
        <v>114</v>
      </c>
      <c r="C16" s="69" t="s">
        <v>82</v>
      </c>
      <c r="D16" s="62" t="str">
        <f>IF(COUNTIF(เก็บข้อมูลHRD!$B$7:$B$1841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124">
        <v>13</v>
      </c>
      <c r="B17" s="68" t="s">
        <v>89</v>
      </c>
      <c r="C17" s="69" t="s">
        <v>82</v>
      </c>
      <c r="D17" s="62" t="str">
        <f>IF(COUNTIF(เก็บข้อมูลHRD!$B$7:$B$1841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124">
        <v>14</v>
      </c>
      <c r="B18" s="68" t="s">
        <v>90</v>
      </c>
      <c r="C18" s="69" t="s">
        <v>91</v>
      </c>
      <c r="D18" s="62" t="str">
        <f>IF(COUNTIF(เก็บข้อมูลHRD!$B$7:$B$1841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124">
        <v>15</v>
      </c>
      <c r="B19" s="68" t="s">
        <v>85</v>
      </c>
      <c r="C19" s="69" t="s">
        <v>86</v>
      </c>
      <c r="D19" s="62" t="str">
        <f>IF(COUNTIF(เก็บข้อมูลHRD!$B$7:$B$1841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124">
        <v>16</v>
      </c>
      <c r="B20" s="68" t="s">
        <v>92</v>
      </c>
      <c r="C20" s="69" t="s">
        <v>88</v>
      </c>
      <c r="D20" s="62" t="str">
        <f>IF(COUNTIF(เก็บข้อมูลHRD!$B$7:$B$1841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124">
        <v>17</v>
      </c>
      <c r="B21" s="68" t="s">
        <v>94</v>
      </c>
      <c r="C21" s="69" t="s">
        <v>95</v>
      </c>
      <c r="D21" s="62" t="str">
        <f>IF(COUNTIF(เก็บข้อมูลHRD!$B$7:$B$1841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124">
        <v>18</v>
      </c>
      <c r="B22" s="68" t="s">
        <v>96</v>
      </c>
      <c r="C22" s="69" t="s">
        <v>95</v>
      </c>
      <c r="D22" s="62" t="str">
        <f>IF(COUNTIF(เก็บข้อมูลHRD!$B$7:$B$1841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124">
        <v>19</v>
      </c>
      <c r="B23" s="68" t="s">
        <v>97</v>
      </c>
      <c r="C23" s="69" t="s">
        <v>82</v>
      </c>
      <c r="D23" s="62" t="str">
        <f>IF(COUNTIF(เก็บข้อมูลHRD!$B$7:$B$1841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124">
        <v>20</v>
      </c>
      <c r="B24" s="68" t="s">
        <v>98</v>
      </c>
      <c r="C24" s="69" t="s">
        <v>82</v>
      </c>
      <c r="D24" s="62" t="str">
        <f>IF(COUNTIF(เก็บข้อมูลHRD!$B$7:$B$1841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124">
        <v>21</v>
      </c>
      <c r="B25" s="68" t="s">
        <v>111</v>
      </c>
      <c r="C25" s="69" t="s">
        <v>112</v>
      </c>
      <c r="D25" s="62" t="str">
        <f>IF(COUNTIF(เก็บข้อมูลHRD!$B$7:$B$1841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124">
        <v>22</v>
      </c>
      <c r="B26" s="68" t="s">
        <v>99</v>
      </c>
      <c r="C26" s="69" t="s">
        <v>93</v>
      </c>
      <c r="D26" s="62" t="str">
        <f>IF(COUNTIF(เก็บข้อมูลHRD!$B$7:$B$1841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124">
        <v>23</v>
      </c>
      <c r="B27" s="68" t="s">
        <v>113</v>
      </c>
      <c r="C27" s="69" t="s">
        <v>80</v>
      </c>
      <c r="D27" s="62" t="str">
        <f>IF(COUNTIF(เก็บข้อมูลHRD!$B$7:$B$1841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124">
        <v>24</v>
      </c>
      <c r="B28" s="68" t="s">
        <v>100</v>
      </c>
      <c r="C28" s="69" t="s">
        <v>101</v>
      </c>
      <c r="D28" s="62" t="str">
        <f>IF(COUNTIF(เก็บข้อมูลHRD!$B$7:$B$1841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4" operator="containsText" text="ยังไม่ได้รับการพัฒนา">
      <formula>NOT(ISERROR(SEARCH("ยังไม่ได้รับการพัฒนา",D4)))</formula>
    </cfRule>
    <cfRule type="containsText" dxfId="1" priority="5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6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SATANG</cp:lastModifiedBy>
  <cp:lastPrinted>2023-09-18T08:56:26Z</cp:lastPrinted>
  <dcterms:created xsi:type="dcterms:W3CDTF">2019-10-21T02:57:05Z</dcterms:created>
  <dcterms:modified xsi:type="dcterms:W3CDTF">2023-10-03T04:16:00Z</dcterms:modified>
</cp:coreProperties>
</file>