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\2563\IDP1-2563\"/>
    </mc:Choice>
  </mc:AlternateContent>
  <bookViews>
    <workbookView xWindow="28680" yWindow="-120" windowWidth="29040" windowHeight="1584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เก็บข้อมูลHRD!$A$6:$P$51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เก็บข้อมูลHRD!$A$1:$M$51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<sst xmlns="http://schemas.openxmlformats.org/spreadsheetml/2006/main" count="476" uniqueCount="144">
  <si>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</si>
  <si>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</si>
  <si>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</si>
  <si>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</si>
  <si>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</si>
  <si>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</si>
  <si>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</si>
  <si>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</si>
  <si>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</si>
  <si>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</si>
  <si>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</si>
  <si>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</si>
  <si>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</si>
  <si>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</si>
  <si>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</si>
  <si>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</si>
  <si>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</si>
  <si>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</si>
  <si>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</si>
  <si>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</si>
  <si>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</si>
  <si>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</si>
  <si>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</si>
  <si>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</si>
  <si>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</si>
  <si>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</si>
  <si>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</si>
  <si>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</si>
  <si>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</si>
  <si>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</si>
  <si>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</si>
  <si>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</si>
  <si>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</si>
  <si>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</si>
  <si>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</si>
  <si>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</si>
  <si>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</si>
  <si>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</si>
  <si>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</si>
  <si>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</si>
  <si>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</si>
  <si>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</si>
  <si>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</si>
  <si>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</si>
  <si>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</si>
  <si>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</si>
  <si>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</si>
  <si>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</si>
  <si>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</si>
  <si>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</si>
  <si>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</si>
  <si>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</si>
  <si>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</si>
  <si>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</si>
  <si>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</si>
  <si>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</si>
  <si>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</si>
  <si>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</si>
  <si>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</si>
  <si>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</si>
  <si>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</si>
  <si>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</si>
  <si>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</si>
  <si>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</si>
  <si>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</si>
  <si>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</si>
  <si>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</si>
  <si>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</si>
  <si>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</si>
  <si>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</si>
  <si>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</si>
  <si>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</si>
  <si>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</si>
  <si>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</si>
  <si>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</si>
  <si>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</si>
  <si>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</si>
  <si>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</si>
  <si>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</si>
  <si>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</si>
  <si>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</si>
  <si>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</si>
  <si>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</si>
  <si>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</si>
  <si>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</si>
  <si>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นายปรีชา จันทรณิธานศรี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</si>
  <si>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</si>
  <si>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</si>
  <si>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</si>
  <si>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</si>
  <si>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</si>
  <si>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</si>
  <si>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</si>
  <si>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</si>
  <si>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</si>
  <si>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นายกิรกนก ยุระชัย</t>
  </si>
  <si>
    <t>นางสาวธนัชชา คุณเขต</t>
  </si>
  <si>
    <t>นักวิทยาศาสตร์การแพทย์ปฏิบัติการ</t>
  </si>
  <si>
    <t>นางสาวภาณุตา บุนนาค</t>
  </si>
  <si>
    <t>นายธรรมรัฐ พุแค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</si>
  <si>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</si>
  <si>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</si>
  <si>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</si>
  <si>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</si>
  <si>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</si>
  <si>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</si>
  <si>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</si>
  <si>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</si>
  <si>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</si>
  <si>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นางสญาภา อินทร์ดิบ</t>
  </si>
  <si>
    <t>นายปิยะณัฐ จันทรภรณ์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</si>
  <si>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</si>
  <si>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</si>
  <si>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</si>
  <si>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อบรมการใช้งานระบบรวบรวมติดตาม ตรวจสอบใบอนุญาตและสินค้าด้านปศุสัตว์ ด้วยเทคโนโลยี Blockchain สำหรับผู้ดูแลระบบ</t>
  </si>
  <si>
    <t>ความรู้/ทักษะเฉพาะทางในสายงาน</t>
  </si>
  <si>
    <t>อบรมกับหน่วยงานในกรมฯ</t>
  </si>
  <si>
    <t>28-29 พ.ย. 62</t>
  </si>
  <si>
    <t>ไม่มี</t>
  </si>
  <si>
    <t>ระบบเชื่อมโยงข้อมูลสารสนเทศกลางและพัฒนาระบบคลังข้อมูลเชิงธุรกิจของกรมปศุสัตว์สำหรับรายงานเชิงวิเคราะห์สำหรับผู้บริหาร (ระดับผู้ดูและระบบ)</t>
  </si>
  <si>
    <t>24-25 ก.พ. 63</t>
  </si>
  <si>
    <t>ระบบเชื่อมโยงข้อมูลสารสนเทศกลางและพัฒนาระบบคลังข้อมูลเชิงธุรกิจของกรมปศุสัตว์สำหรับรายงานเชิงวิเคราะห์สำหรับผู้บริหาร (ระดับผู้ปฏิบัติงาน)</t>
  </si>
  <si>
    <t>26-27 ก.พ. 63</t>
  </si>
  <si>
    <t>ระบบเชื่อมโยงข้อมูลสารสนเทศกลางและพัฒนาระบบคลังข้อมูลเชิงธุรกิจของกรมปศุสัตว์สำหรับรายงานเชิงวิเคราะห์สำหรับผู้บริหาร (ระดับผู้บริหารหรือผู้แทน)</t>
  </si>
  <si>
    <t>นักบริหารการพัฒนาการเกษตรและสหกรณ์ ระดับกลาง รุ่นที่ 90</t>
  </si>
  <si>
    <t>ภาวะผู้นำ/คุณธรรม/จริยธรรม</t>
  </si>
  <si>
    <t>สถาบันเกษตราธิการ</t>
  </si>
  <si>
    <t>19 พ.ย. - 27 ธ.ค. 62</t>
  </si>
  <si>
    <t>มี</t>
  </si>
  <si>
    <t>ทำงานเป็นทีม</t>
  </si>
  <si>
    <t>ชุมชนนักปฏิบัติ(CoP)</t>
  </si>
  <si>
    <t>นักวิชาการสถิติ
ชำนาญการ</t>
  </si>
  <si>
    <t>นักวิชาการสถิติ
ปฏิบัติการ</t>
  </si>
  <si>
    <t>เจ้าพนักงานธุรการ
ปฏิบัติงาน</t>
  </si>
  <si>
    <t>เจ้าหน้าที่ระบบงาน
คอมพิวเตอร์</t>
  </si>
  <si>
    <t>นายสัตวแพทย์
ชำนาญการพิเศษ</t>
  </si>
  <si>
    <t>เจ้าพนักงานธุรการ
ชำนาญงาน</t>
  </si>
  <si>
    <t>นักวิชาการ
คอมพิวเตอร์</t>
  </si>
  <si>
    <t>เจ้าพนักงานธุรการ
อาวุโส</t>
  </si>
  <si>
    <t>นักวิชาการ
คอมพิวเตอร์
ปฏิบัติการ</t>
  </si>
  <si>
    <t>นักวิชาการ
คอมพิวเตอร์
ชำนาญการ</t>
  </si>
  <si>
    <t>นักวิทยาศาสตร์
การแพทย์ปฏิบัติการ</t>
  </si>
  <si>
    <t>ชุมชนนักปฏิบัติ (CoP) หัวข้อ 5 ส. 4.0</t>
  </si>
  <si>
    <t xml:space="preserve">คำนำหน้าชื่อ (ไม่ใช้ตัวย่อ)/
ชื่อ-สกุล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</si>
</sst>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_-* #,##0_-;\-* #,##0_-;_-* &quot;-&quot;??_-;_-@_-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31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 applyProtection="1">
      <alignment vertical="top" wrapText="1"/>
    </xf>
    <xf numFmtId="0" fontId="10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 applyProtection="1">
      <alignment horizontal="center" vertical="top" wrapText="1"/>
    </xf>
    <xf numFmtId="0" fontId="26" fillId="2" borderId="2" xfId="0" applyFont="1" applyFill="1" applyBorder="1" applyAlignment="1" applyProtection="1">
      <alignment horizontal="center" vertical="top" wrapText="1"/>
    </xf>
    <xf numFmtId="0" fontId="23" fillId="2" borderId="2" xfId="0" applyFont="1" applyFill="1" applyBorder="1" applyAlignment="1" applyProtection="1">
      <alignment horizontal="center" vertical="top" wrapText="1"/>
    </xf>
    <xf numFmtId="0" fontId="26" fillId="2" borderId="1" xfId="0" applyFont="1" applyFill="1" applyBorder="1" applyAlignment="1" applyProtection="1">
      <alignment horizontal="center" vertical="top" wrapText="1"/>
    </xf>
    <xf numFmtId="187" fontId="2" fillId="2" borderId="2" xfId="0" applyNumberFormat="1" applyFont="1" applyFill="1" applyBorder="1" applyAlignment="1" applyProtection="1">
      <alignment horizontal="center" vertical="top" wrapText="1"/>
    </xf>
    <xf numFmtId="2" fontId="2" fillId="2" borderId="1" xfId="0" applyNumberFormat="1" applyFont="1" applyFill="1" applyBorder="1" applyAlignment="1" applyProtection="1">
      <alignment horizontal="center" vertical="top" wrapText="1"/>
    </xf>
    <xf numFmtId="2" fontId="39" fillId="2" borderId="1" xfId="0" applyNumberFormat="1" applyFont="1" applyFill="1" applyBorder="1" applyAlignment="1" applyProtection="1">
      <alignment horizontal="center" vertical="top" wrapText="1"/>
    </xf>
    <xf numFmtId="0" fontId="39" fillId="2" borderId="4" xfId="0" applyFont="1" applyFill="1" applyBorder="1" applyAlignment="1" applyProtection="1">
      <alignment horizontal="center" vertical="top" wrapText="1" shrinkToFi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10" fillId="0" borderId="0" xfId="0" applyFont="1" applyFill="1" applyAlignment="1">
      <alignment vertical="top"/>
    </xf>
    <xf numFmtId="0" fontId="1" fillId="0" borderId="0" xfId="0" applyFont="1" applyFill="1" applyAlignment="1">
      <alignment vertical="top"/>
    </xf>
    <xf numFmtId="0" fontId="4" fillId="2" borderId="0" xfId="0" applyFont="1" applyFill="1" applyAlignment="1" applyProtection="1">
      <alignment horizontal="right" vertical="top"/>
    </xf>
    <xf numFmtId="0" fontId="1" fillId="2" borderId="0" xfId="0" applyFont="1" applyFill="1" applyAlignment="1" applyProtection="1">
      <alignment horizontal="center" vertical="top"/>
    </xf>
    <xf numFmtId="2" fontId="1" fillId="2" borderId="0" xfId="0" applyNumberFormat="1" applyFont="1" applyFill="1" applyAlignment="1" applyProtection="1">
      <alignment horizontal="center" vertical="top"/>
    </xf>
    <xf numFmtId="43" fontId="1" fillId="2" borderId="0" xfId="1" applyNumberFormat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 applyProtection="1">
      <alignment horizontal="right" vertical="top" shrinkToFit="1"/>
    </xf>
    <xf numFmtId="0" fontId="26" fillId="2" borderId="0" xfId="0" applyFont="1" applyFill="1" applyAlignment="1" applyProtection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Border="1" applyAlignment="1" applyProtection="1">
      <alignment vertical="top" shrinkToFit="1"/>
      <protection locked="0"/>
    </xf>
    <xf numFmtId="0" fontId="51" fillId="2" borderId="0" xfId="0" applyFont="1" applyFill="1" applyAlignment="1" applyProtection="1">
      <alignment vertical="top" shrinkToFit="1"/>
    </xf>
    <xf numFmtId="188" fontId="5" fillId="3" borderId="4" xfId="0" applyNumberFormat="1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 applyProtection="1">
      <alignment horizontal="center" vertical="top" textRotation="90" shrinkToFit="1"/>
    </xf>
    <xf numFmtId="0" fontId="7" fillId="2" borderId="0" xfId="0" applyFont="1" applyFill="1" applyAlignment="1" applyProtection="1">
      <alignment horizontal="right" vertical="top" shrinkToFit="1"/>
    </xf>
    <xf numFmtId="0" fontId="7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horizontal="center" vertical="top" shrinkToFit="1"/>
    </xf>
    <xf numFmtId="2" fontId="5" fillId="2" borderId="0" xfId="0" applyNumberFormat="1" applyFont="1" applyFill="1" applyAlignment="1" applyProtection="1">
      <alignment horizontal="center" vertical="top" shrinkToFit="1"/>
    </xf>
    <xf numFmtId="43" fontId="5" fillId="2" borderId="0" xfId="1" applyNumberFormat="1" applyFont="1" applyFill="1" applyAlignment="1" applyProtection="1">
      <alignment horizontal="center" vertical="top" shrinkToFit="1"/>
    </xf>
    <xf numFmtId="0" fontId="5" fillId="2" borderId="0" xfId="0" applyFont="1" applyFill="1" applyBorder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Fill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0" fontId="5" fillId="0" borderId="0" xfId="0" applyFont="1" applyBorder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43" fontId="5" fillId="0" borderId="0" xfId="1" applyNumberFormat="1" applyFont="1" applyAlignment="1" applyProtection="1">
      <alignment horizontal="center" vertical="top" shrinkToFit="1"/>
      <protection locked="0"/>
    </xf>
    <xf numFmtId="0" fontId="5" fillId="0" borderId="0" xfId="0" applyFont="1" applyBorder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40" fillId="0" borderId="4" xfId="0" applyFont="1" applyFill="1" applyBorder="1" applyAlignment="1" applyProtection="1">
      <alignment horizontal="left" vertical="top" wrapText="1" shrinkToFit="1"/>
      <protection locked="0"/>
    </xf>
    <xf numFmtId="0" fontId="23" fillId="2" borderId="4" xfId="0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horizontal="center" vertical="top"/>
    </xf>
    <xf numFmtId="187" fontId="40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0" fontId="40" fillId="0" borderId="0" xfId="0" applyFont="1" applyFill="1" applyAlignment="1">
      <alignment horizontal="left" vertical="top" wrapText="1" shrinkToFit="1"/>
    </xf>
    <xf numFmtId="0" fontId="40" fillId="0" borderId="4" xfId="0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Fill="1" applyBorder="1" applyAlignment="1" applyProtection="1">
      <alignment horizontal="left" vertical="top" wrapText="1"/>
      <protection locked="0"/>
    </xf>
    <xf numFmtId="1" fontId="40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43" fontId="40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40" fillId="0" borderId="5" xfId="0" applyFont="1" applyFill="1" applyBorder="1" applyAlignment="1" applyProtection="1">
      <alignment horizontal="center" vertical="top" wrapText="1" shrinkToFit="1"/>
      <protection locked="0"/>
    </xf>
    <xf numFmtId="1" fontId="40" fillId="0" borderId="5" xfId="0" applyNumberFormat="1" applyFont="1" applyFill="1" applyBorder="1" applyAlignment="1" applyProtection="1">
      <alignment horizontal="center" vertical="top" wrapText="1" shrinkToFit="1"/>
      <protection locked="0"/>
    </xf>
    <xf numFmtId="188" fontId="40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192" fontId="40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5" fillId="0" borderId="0" xfId="0" applyFont="1" applyAlignment="1" applyProtection="1">
      <alignment horizontal="center" vertical="top" wrapText="1" shrinkToFit="1"/>
      <protection locked="0"/>
    </xf>
    <xf numFmtId="49" fontId="5" fillId="0" borderId="0" xfId="0" applyNumberFormat="1" applyFont="1" applyAlignment="1" applyProtection="1">
      <alignment vertical="top" wrapText="1" shrinkToFit="1"/>
      <protection locked="0"/>
    </xf>
    <xf numFmtId="0" fontId="5" fillId="0" borderId="0" xfId="0" applyFont="1" applyAlignment="1" applyProtection="1">
      <alignment vertical="top" wrapText="1" shrinkToFit="1"/>
      <protection locked="0"/>
    </xf>
    <xf numFmtId="0" fontId="5" fillId="0" borderId="0" xfId="0" applyFont="1" applyBorder="1" applyAlignment="1" applyProtection="1">
      <alignment vertical="top" wrapText="1" shrinkToFit="1"/>
      <protection locked="0"/>
    </xf>
    <xf numFmtId="2" fontId="5" fillId="0" borderId="0" xfId="0" applyNumberFormat="1" applyFont="1" applyAlignment="1" applyProtection="1">
      <alignment horizontal="center" vertical="top" wrapText="1" shrinkToFit="1"/>
      <protection locked="0"/>
    </xf>
    <xf numFmtId="43" fontId="5" fillId="0" borderId="0" xfId="1" applyNumberFormat="1" applyFont="1" applyAlignment="1" applyProtection="1">
      <alignment horizontal="center" vertical="top" wrapText="1" shrinkToFit="1"/>
      <protection locked="0"/>
    </xf>
    <xf numFmtId="0" fontId="5" fillId="0" borderId="0" xfId="0" applyFont="1" applyBorder="1" applyAlignment="1" applyProtection="1">
      <alignment horizontal="center" vertical="top" wrapText="1" shrinkToFit="1"/>
      <protection locked="0"/>
    </xf>
    <xf numFmtId="1" fontId="5" fillId="0" borderId="0" xfId="0" applyNumberFormat="1" applyFont="1" applyAlignment="1" applyProtection="1">
      <alignment horizontal="center" vertical="top" wrapText="1" shrinkToFit="1"/>
      <protection locked="0"/>
    </xf>
    <xf numFmtId="0" fontId="5" fillId="0" borderId="0" xfId="0" applyFont="1" applyAlignment="1">
      <alignment vertical="top" wrapText="1" shrinkToFit="1"/>
    </xf>
    <xf numFmtId="0" fontId="5" fillId="0" borderId="0" xfId="0" applyFont="1" applyFill="1" applyAlignment="1">
      <alignment vertical="top" wrapText="1" shrinkToFit="1"/>
    </xf>
    <xf numFmtId="0" fontId="40" fillId="0" borderId="4" xfId="0" applyFont="1" applyFill="1" applyBorder="1" applyAlignment="1" applyProtection="1">
      <alignment horizontal="center" vertical="top" wrapText="1"/>
      <protection locked="0"/>
    </xf>
    <xf numFmtId="0" fontId="40" fillId="0" borderId="5" xfId="0" applyFont="1" applyFill="1" applyBorder="1" applyAlignment="1" applyProtection="1">
      <alignment horizontal="left" vertical="top" wrapText="1" shrinkToFit="1"/>
      <protection locked="0"/>
    </xf>
    <xf numFmtId="43" fontId="40" fillId="0" borderId="5" xfId="1" applyNumberFormat="1" applyFont="1" applyFill="1" applyBorder="1" applyAlignment="1" applyProtection="1">
      <alignment horizontal="center" vertical="top" wrapText="1" shrinkToFit="1"/>
      <protection locked="0"/>
    </xf>
    <xf numFmtId="0" fontId="5" fillId="0" borderId="0" xfId="0" applyFont="1" applyFill="1" applyAlignment="1" applyProtection="1">
      <alignment horizontal="center" vertical="top" wrapText="1" shrinkToFit="1"/>
      <protection locked="0"/>
    </xf>
    <xf numFmtId="49" fontId="5" fillId="0" borderId="0" xfId="0" applyNumberFormat="1" applyFont="1" applyFill="1" applyAlignment="1" applyProtection="1">
      <alignment vertical="top" wrapText="1" shrinkToFit="1"/>
      <protection locked="0"/>
    </xf>
    <xf numFmtId="0" fontId="5" fillId="0" borderId="0" xfId="0" applyFont="1" applyFill="1" applyAlignment="1" applyProtection="1">
      <alignment vertical="top" wrapText="1" shrinkToFit="1"/>
      <protection locked="0"/>
    </xf>
    <xf numFmtId="0" fontId="5" fillId="0" borderId="0" xfId="0" applyFont="1" applyFill="1" applyBorder="1" applyAlignment="1" applyProtection="1">
      <alignment vertical="top" wrapText="1" shrinkToFit="1"/>
      <protection locked="0"/>
    </xf>
    <xf numFmtId="2" fontId="5" fillId="0" borderId="0" xfId="0" applyNumberFormat="1" applyFont="1" applyFill="1" applyAlignment="1" applyProtection="1">
      <alignment horizontal="center" vertical="top" wrapText="1" shrinkToFit="1"/>
      <protection locked="0"/>
    </xf>
    <xf numFmtId="43" fontId="5" fillId="0" borderId="0" xfId="1" applyNumberFormat="1" applyFont="1" applyFill="1" applyAlignment="1" applyProtection="1">
      <alignment horizontal="center" vertical="top" wrapText="1" shrinkToFit="1"/>
      <protection locked="0"/>
    </xf>
    <xf numFmtId="0" fontId="5" fillId="0" borderId="0" xfId="0" applyFont="1" applyFill="1" applyBorder="1" applyAlignment="1" applyProtection="1">
      <alignment horizontal="center" vertical="top" wrapText="1" shrinkToFit="1"/>
      <protection locked="0"/>
    </xf>
    <xf numFmtId="1" fontId="5" fillId="0" borderId="0" xfId="0" applyNumberFormat="1" applyFont="1" applyFill="1" applyAlignment="1" applyProtection="1">
      <alignment horizontal="center" vertical="top" wrapText="1" shrinkToFit="1"/>
      <protection locked="0"/>
    </xf>
    <xf numFmtId="0" fontId="40" fillId="0" borderId="9" xfId="0" applyFont="1" applyFill="1" applyBorder="1" applyAlignment="1" applyProtection="1">
      <alignment vertical="top" wrapText="1" shrinkToFit="1"/>
      <protection locked="0"/>
    </xf>
    <xf numFmtId="0" fontId="40" fillId="0" borderId="9" xfId="0" applyFont="1" applyFill="1" applyBorder="1" applyAlignment="1" applyProtection="1">
      <alignment vertical="top" wrapText="1"/>
      <protection locked="0"/>
    </xf>
    <xf numFmtId="0" fontId="40" fillId="0" borderId="10" xfId="0" applyFont="1" applyFill="1" applyBorder="1" applyAlignment="1" applyProtection="1">
      <alignment vertical="top" wrapText="1" shrinkToFit="1"/>
      <protection locked="0"/>
    </xf>
    <xf numFmtId="0" fontId="40" fillId="0" borderId="10" xfId="0" applyFont="1" applyFill="1" applyBorder="1" applyAlignment="1" applyProtection="1">
      <alignment vertical="top" wrapText="1"/>
      <protection locked="0"/>
    </xf>
    <xf numFmtId="0" fontId="40" fillId="0" borderId="5" xfId="0" applyFont="1" applyFill="1" applyBorder="1" applyAlignment="1" applyProtection="1">
      <alignment vertical="top" wrapText="1" shrinkToFit="1"/>
      <protection locked="0"/>
    </xf>
    <xf numFmtId="0" fontId="40" fillId="0" borderId="5" xfId="0" applyFont="1" applyFill="1" applyBorder="1" applyAlignment="1" applyProtection="1">
      <alignment vertical="top" wrapText="1"/>
      <protection locked="0"/>
    </xf>
    <xf numFmtId="0" fontId="40" fillId="0" borderId="9" xfId="0" applyFont="1" applyFill="1" applyBorder="1" applyAlignment="1" applyProtection="1">
      <alignment horizontal="center" vertical="top" wrapText="1" shrinkToFit="1"/>
      <protection locked="0"/>
    </xf>
    <xf numFmtId="0" fontId="40" fillId="0" borderId="9" xfId="0" applyFont="1" applyFill="1" applyBorder="1" applyAlignment="1" applyProtection="1">
      <alignment horizontal="center" vertical="top" wrapText="1"/>
      <protection locked="0"/>
    </xf>
    <xf numFmtId="0" fontId="53" fillId="2" borderId="4" xfId="0" applyFont="1" applyFill="1" applyBorder="1" applyAlignment="1" applyProtection="1">
      <alignment horizontal="center" vertical="top" wrapText="1"/>
    </xf>
    <xf numFmtId="0" fontId="54" fillId="0" borderId="1" xfId="0" applyFont="1" applyFill="1" applyBorder="1" applyAlignment="1" applyProtection="1">
      <alignment horizontal="center" vertical="top" wrapText="1" shrinkToFit="1"/>
      <protection locked="0"/>
    </xf>
    <xf numFmtId="0" fontId="54" fillId="0" borderId="3" xfId="0" applyFont="1" applyFill="1" applyBorder="1" applyAlignment="1" applyProtection="1">
      <alignment horizontal="center" vertical="top" wrapText="1" shrinkToFit="1"/>
      <protection locked="0"/>
    </xf>
    <xf numFmtId="0" fontId="41" fillId="2" borderId="0" xfId="0" applyFont="1" applyFill="1" applyBorder="1" applyAlignment="1" applyProtection="1">
      <alignment horizontal="left" vertical="top" wrapText="1"/>
    </xf>
    <xf numFmtId="0" fontId="7" fillId="2" borderId="0" xfId="0" applyFont="1" applyFill="1" applyAlignment="1" applyProtection="1">
      <alignment horizontal="right" vertical="top" shrinkToFit="1"/>
    </xf>
    <xf numFmtId="0" fontId="52" fillId="3" borderId="4" xfId="0" applyFont="1" applyFill="1" applyBorder="1" applyAlignment="1" applyProtection="1">
      <alignment horizontal="center" vertical="top" shrinkToFit="1"/>
    </xf>
    <xf numFmtId="0" fontId="26" fillId="2" borderId="0" xfId="0" applyFont="1" applyFill="1" applyAlignment="1" applyProtection="1">
      <alignment horizontal="right" vertical="top"/>
    </xf>
    <xf numFmtId="0" fontId="40" fillId="0" borderId="9" xfId="0" applyFont="1" applyFill="1" applyBorder="1" applyAlignment="1" applyProtection="1">
      <alignment horizontal="center" vertical="top" wrapText="1" shrinkToFit="1"/>
      <protection locked="0"/>
    </xf>
    <xf numFmtId="0" fontId="40" fillId="0" borderId="10" xfId="0" applyFont="1" applyFill="1" applyBorder="1" applyAlignment="1" applyProtection="1">
      <alignment horizontal="center" vertical="top" wrapText="1" shrinkToFit="1"/>
      <protection locked="0"/>
    </xf>
    <xf numFmtId="0" fontId="40" fillId="0" borderId="5" xfId="0" applyFont="1" applyFill="1" applyBorder="1" applyAlignment="1" applyProtection="1">
      <alignment horizontal="center" vertical="top" wrapText="1" shrinkToFit="1"/>
      <protection locked="0"/>
    </xf>
    <xf numFmtId="0" fontId="40" fillId="0" borderId="9" xfId="0" applyFont="1" applyFill="1" applyBorder="1" applyAlignment="1" applyProtection="1">
      <alignment horizontal="left" vertical="top" wrapText="1"/>
      <protection locked="0"/>
    </xf>
    <xf numFmtId="0" fontId="40" fillId="0" borderId="10" xfId="0" applyFont="1" applyFill="1" applyBorder="1" applyAlignment="1" applyProtection="1">
      <alignment horizontal="left" vertical="top" wrapText="1"/>
      <protection locked="0"/>
    </xf>
    <xf numFmtId="0" fontId="40" fillId="0" borderId="5" xfId="0" applyFont="1" applyFill="1" applyBorder="1" applyAlignment="1" applyProtection="1">
      <alignment horizontal="left" vertical="top" wrapText="1"/>
      <protection locked="0"/>
    </xf>
    <xf numFmtId="0" fontId="40" fillId="0" borderId="9" xfId="0" applyFont="1" applyFill="1" applyBorder="1" applyAlignment="1" applyProtection="1">
      <alignment horizontal="left" vertical="top" wrapText="1" shrinkToFit="1"/>
      <protection locked="0"/>
    </xf>
    <xf numFmtId="0" fontId="40" fillId="0" borderId="10" xfId="0" applyFont="1" applyFill="1" applyBorder="1" applyAlignment="1" applyProtection="1">
      <alignment horizontal="left" vertical="top" wrapText="1" shrinkToFit="1"/>
      <protection locked="0"/>
    </xf>
    <xf numFmtId="0" fontId="40" fillId="0" borderId="5" xfId="0" applyFont="1" applyFill="1" applyBorder="1" applyAlignment="1" applyProtection="1">
      <alignment horizontal="left" vertical="top" wrapText="1" shrinkToFit="1"/>
      <protection locked="0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8" fillId="5" borderId="2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horizontal="center" vertical="center" shrinkToFit="1"/>
    </xf>
    <xf numFmtId="0" fontId="38" fillId="6" borderId="2" xfId="0" applyFont="1" applyFill="1" applyBorder="1" applyAlignment="1">
      <alignment horizontal="center" vertical="center" shrinkToFit="1"/>
    </xf>
    <xf numFmtId="0" fontId="38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3"/>
  <sheetViews>
    <sheetView showGridLines="0" tabSelected="1" view="pageBreakPreview" zoomScaleNormal="110" zoomScaleSheetLayoutView="100" zoomScalePageLayoutView="120" workbookViewId="0">
      <pane ySplit="6" topLeftCell="A7" activePane="bottomLeft" state="frozen"/>
      <selection pane="bottomLeft" activeCell="C2" sqref="C2:D2"/>
    </sheetView>
  </sheetViews>
  <sheetFormatPr defaultRowHeight="21.95" customHeight="1" x14ac:dyDescent="0.2"/>
  <cols>
    <col min="1" max="1" width="3.125" style="111" customWidth="1"/>
    <col min="2" max="2" width="18.25" style="112" customWidth="1"/>
    <col min="3" max="3" width="11.5" style="113" bestFit="1" customWidth="1"/>
    <col min="4" max="4" width="7.375" style="114" customWidth="1"/>
    <col min="5" max="5" width="33.5" style="113" customWidth="1"/>
    <col min="6" max="6" width="12.75" style="113" customWidth="1"/>
    <col min="7" max="7" width="7.5" style="113" customWidth="1"/>
    <col min="8" max="8" width="10.125" style="111" customWidth="1"/>
    <col min="9" max="9" width="7.625" style="113" customWidth="1"/>
    <col min="10" max="10" width="7" style="115" customWidth="1"/>
    <col min="11" max="11" width="6" style="116" customWidth="1"/>
    <col min="12" max="12" width="5.625" style="117" customWidth="1"/>
    <col min="13" max="13" width="5.25" style="118" customWidth="1"/>
    <col min="14" max="14" width="7.375" style="108" customWidth="1"/>
    <col min="15" max="15" width="9" style="108"/>
    <col min="16" max="16384" width="9" style="110"/>
  </cols>
  <sheetData>
    <row r="1" spans="1:15" s="88" customFormat="1" ht="4.5" customHeight="1" x14ac:dyDescent="0.2">
      <c r="A1" s="121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87"/>
      <c r="O1" s="9"/>
    </row>
    <row r="2" spans="1:15" s="88" customFormat="1" ht="36.75" customHeight="1" x14ac:dyDescent="0.2">
      <c r="A2" s="49"/>
      <c r="B2" s="89" t="s">
        <v>54</v>
      </c>
      <c r="C2" s="162" t="s">
        <v>113</v>
      </c>
      <c r="D2" s="163"/>
      <c r="E2" s="164" t="s">
        <v>70</v>
      </c>
      <c r="F2" s="164"/>
      <c r="G2" s="164"/>
      <c r="H2" s="164"/>
      <c r="I2" s="164"/>
      <c r="J2" s="164"/>
      <c r="K2" s="164"/>
      <c r="L2" s="164"/>
      <c r="M2" s="164"/>
    </row>
    <row r="3" spans="1:15" s="88" customFormat="1" ht="9" customHeight="1" x14ac:dyDescent="0.2">
      <c r="A3" s="49"/>
      <c r="B3" s="50"/>
      <c r="C3" s="50"/>
      <c r="D3" s="50"/>
      <c r="E3" s="90"/>
      <c r="F3" s="90"/>
      <c r="G3" s="90"/>
      <c r="H3" s="90"/>
      <c r="I3" s="90"/>
      <c r="J3" s="91"/>
      <c r="K3" s="92"/>
      <c r="L3" s="90"/>
      <c r="M3" s="90"/>
    </row>
    <row r="4" spans="1:15" s="88" customFormat="1" ht="20.25" customHeight="1" x14ac:dyDescent="0.2">
      <c r="A4" s="51"/>
      <c r="B4" s="167" t="s">
        <v>58</v>
      </c>
      <c r="C4" s="167"/>
      <c r="D4" s="93">
        <v>16</v>
      </c>
      <c r="E4" s="94" t="s">
        <v>59</v>
      </c>
      <c r="F4" s="93">
        <v>10</v>
      </c>
      <c r="G4" s="95" t="s">
        <v>47</v>
      </c>
      <c r="H4" s="96">
        <v>2563</v>
      </c>
      <c r="I4" s="97" t="s">
        <v>72</v>
      </c>
      <c r="J4" s="166" t="s">
        <v>88</v>
      </c>
      <c r="K4" s="166"/>
      <c r="L4" s="98" t="s">
        <v>45</v>
      </c>
      <c r="M4" s="99">
        <v>43909</v>
      </c>
    </row>
    <row r="5" spans="1:15" s="109" customFormat="1" ht="4.5" customHeight="1" x14ac:dyDescent="0.2">
      <c r="A5" s="100"/>
      <c r="B5" s="165"/>
      <c r="C5" s="165"/>
      <c r="D5" s="101"/>
      <c r="E5" s="101"/>
      <c r="F5" s="102"/>
      <c r="G5" s="103"/>
      <c r="H5" s="104"/>
      <c r="I5" s="103"/>
      <c r="J5" s="105"/>
      <c r="K5" s="106"/>
      <c r="L5" s="107"/>
      <c r="M5" s="104"/>
      <c r="N5" s="108"/>
      <c r="O5" s="108"/>
    </row>
    <row r="6" spans="1:15" s="86" customFormat="1" ht="39.75" customHeight="1" x14ac:dyDescent="0.2">
      <c r="A6" s="76" t="s">
        <v>0</v>
      </c>
      <c r="B6" s="161" t="s">
        <v>143</v>
      </c>
      <c r="C6" s="76" t="s">
        <v>1</v>
      </c>
      <c r="D6" s="77" t="s">
        <v>3</v>
      </c>
      <c r="E6" s="76" t="s">
        <v>66</v>
      </c>
      <c r="F6" s="78" t="s">
        <v>4</v>
      </c>
      <c r="G6" s="79" t="s">
        <v>5</v>
      </c>
      <c r="H6" s="76" t="s">
        <v>2</v>
      </c>
      <c r="I6" s="80" t="s">
        <v>43</v>
      </c>
      <c r="J6" s="81" t="s">
        <v>44</v>
      </c>
      <c r="K6" s="82" t="s">
        <v>68</v>
      </c>
      <c r="L6" s="83" t="s">
        <v>50</v>
      </c>
      <c r="M6" s="120" t="s">
        <v>6</v>
      </c>
      <c r="N6" s="84"/>
      <c r="O6" s="85"/>
    </row>
    <row r="7" spans="1:15" s="123" customFormat="1" ht="47.25" x14ac:dyDescent="0.2">
      <c r="A7" s="168">
        <v>1</v>
      </c>
      <c r="B7" s="171" t="s">
        <v>77</v>
      </c>
      <c r="C7" s="174" t="s">
        <v>132</v>
      </c>
      <c r="D7" s="174" t="s">
        <v>51</v>
      </c>
      <c r="E7" s="119" t="s">
        <v>142</v>
      </c>
      <c r="F7" s="143" t="s">
        <v>129</v>
      </c>
      <c r="G7" s="143" t="s">
        <v>130</v>
      </c>
      <c r="H7" s="143" t="s">
        <v>113</v>
      </c>
      <c r="I7" s="130">
        <v>43906</v>
      </c>
      <c r="J7" s="129">
        <v>2</v>
      </c>
      <c r="K7" s="144">
        <v>0</v>
      </c>
      <c r="L7" s="128" t="s">
        <v>128</v>
      </c>
      <c r="M7" s="129">
        <v>1</v>
      </c>
    </row>
    <row r="8" spans="1:15" s="123" customFormat="1" ht="47.25" x14ac:dyDescent="0.2">
      <c r="A8" s="170"/>
      <c r="B8" s="173"/>
      <c r="C8" s="176"/>
      <c r="D8" s="176"/>
      <c r="E8" s="119" t="s">
        <v>114</v>
      </c>
      <c r="F8" s="119" t="s">
        <v>115</v>
      </c>
      <c r="G8" s="119" t="s">
        <v>116</v>
      </c>
      <c r="H8" s="119" t="s">
        <v>113</v>
      </c>
      <c r="I8" s="122" t="s">
        <v>117</v>
      </c>
      <c r="J8" s="126">
        <v>12</v>
      </c>
      <c r="K8" s="127">
        <v>0</v>
      </c>
      <c r="L8" s="128" t="s">
        <v>118</v>
      </c>
      <c r="M8" s="129">
        <v>1</v>
      </c>
    </row>
    <row r="9" spans="1:15" s="123" customFormat="1" ht="47.25" x14ac:dyDescent="0.2">
      <c r="A9" s="168">
        <v>2</v>
      </c>
      <c r="B9" s="171" t="s">
        <v>79</v>
      </c>
      <c r="C9" s="174" t="s">
        <v>133</v>
      </c>
      <c r="D9" s="174" t="s">
        <v>51</v>
      </c>
      <c r="E9" s="119" t="s">
        <v>142</v>
      </c>
      <c r="F9" s="143" t="s">
        <v>129</v>
      </c>
      <c r="G9" s="143" t="s">
        <v>130</v>
      </c>
      <c r="H9" s="143" t="s">
        <v>113</v>
      </c>
      <c r="I9" s="130">
        <v>43906</v>
      </c>
      <c r="J9" s="129">
        <v>2</v>
      </c>
      <c r="K9" s="144">
        <v>0</v>
      </c>
      <c r="L9" s="128" t="s">
        <v>128</v>
      </c>
      <c r="M9" s="129">
        <v>1</v>
      </c>
    </row>
    <row r="10" spans="1:15" s="123" customFormat="1" ht="47.25" x14ac:dyDescent="0.2">
      <c r="A10" s="170"/>
      <c r="B10" s="173"/>
      <c r="C10" s="176"/>
      <c r="D10" s="176"/>
      <c r="E10" s="119" t="s">
        <v>121</v>
      </c>
      <c r="F10" s="119" t="s">
        <v>115</v>
      </c>
      <c r="G10" s="119" t="s">
        <v>116</v>
      </c>
      <c r="H10" s="119" t="s">
        <v>113</v>
      </c>
      <c r="I10" s="122" t="s">
        <v>122</v>
      </c>
      <c r="J10" s="126">
        <v>12</v>
      </c>
      <c r="K10" s="127">
        <v>0</v>
      </c>
      <c r="L10" s="128" t="s">
        <v>118</v>
      </c>
      <c r="M10" s="129">
        <v>1</v>
      </c>
    </row>
    <row r="11" spans="1:15" s="123" customFormat="1" ht="47.25" x14ac:dyDescent="0.2">
      <c r="A11" s="168">
        <v>3</v>
      </c>
      <c r="B11" s="171" t="s">
        <v>81</v>
      </c>
      <c r="C11" s="174" t="s">
        <v>134</v>
      </c>
      <c r="D11" s="174" t="s">
        <v>64</v>
      </c>
      <c r="E11" s="119" t="s">
        <v>142</v>
      </c>
      <c r="F11" s="143" t="s">
        <v>129</v>
      </c>
      <c r="G11" s="143" t="s">
        <v>130</v>
      </c>
      <c r="H11" s="143" t="s">
        <v>113</v>
      </c>
      <c r="I11" s="130">
        <v>43906</v>
      </c>
      <c r="J11" s="129">
        <v>2</v>
      </c>
      <c r="K11" s="144">
        <v>0</v>
      </c>
      <c r="L11" s="128" t="s">
        <v>128</v>
      </c>
      <c r="M11" s="129">
        <v>1</v>
      </c>
    </row>
    <row r="12" spans="1:15" s="123" customFormat="1" ht="47.25" x14ac:dyDescent="0.2">
      <c r="A12" s="169"/>
      <c r="B12" s="172"/>
      <c r="C12" s="175"/>
      <c r="D12" s="175"/>
      <c r="E12" s="119" t="s">
        <v>119</v>
      </c>
      <c r="F12" s="119" t="s">
        <v>115</v>
      </c>
      <c r="G12" s="119" t="s">
        <v>116</v>
      </c>
      <c r="H12" s="119" t="s">
        <v>113</v>
      </c>
      <c r="I12" s="122" t="s">
        <v>120</v>
      </c>
      <c r="J12" s="126">
        <v>12</v>
      </c>
      <c r="K12" s="127">
        <v>0</v>
      </c>
      <c r="L12" s="128" t="s">
        <v>118</v>
      </c>
      <c r="M12" s="129">
        <v>1</v>
      </c>
    </row>
    <row r="13" spans="1:15" s="123" customFormat="1" ht="47.25" x14ac:dyDescent="0.2">
      <c r="A13" s="170"/>
      <c r="B13" s="173"/>
      <c r="C13" s="176"/>
      <c r="D13" s="176"/>
      <c r="E13" s="119" t="s">
        <v>121</v>
      </c>
      <c r="F13" s="119" t="s">
        <v>115</v>
      </c>
      <c r="G13" s="119" t="s">
        <v>116</v>
      </c>
      <c r="H13" s="119" t="s">
        <v>113</v>
      </c>
      <c r="I13" s="122" t="s">
        <v>122</v>
      </c>
      <c r="J13" s="126">
        <v>12</v>
      </c>
      <c r="K13" s="127">
        <v>0</v>
      </c>
      <c r="L13" s="128" t="s">
        <v>118</v>
      </c>
      <c r="M13" s="129">
        <v>1</v>
      </c>
    </row>
    <row r="14" spans="1:15" s="123" customFormat="1" ht="47.25" x14ac:dyDescent="0.2">
      <c r="A14" s="124">
        <v>4</v>
      </c>
      <c r="B14" s="125" t="s">
        <v>83</v>
      </c>
      <c r="C14" s="119" t="s">
        <v>134</v>
      </c>
      <c r="D14" s="119" t="s">
        <v>64</v>
      </c>
      <c r="E14" s="119" t="s">
        <v>119</v>
      </c>
      <c r="F14" s="119" t="s">
        <v>115</v>
      </c>
      <c r="G14" s="119" t="s">
        <v>116</v>
      </c>
      <c r="H14" s="119" t="s">
        <v>113</v>
      </c>
      <c r="I14" s="122" t="s">
        <v>120</v>
      </c>
      <c r="J14" s="126">
        <v>12</v>
      </c>
      <c r="K14" s="127">
        <v>0</v>
      </c>
      <c r="L14" s="128" t="s">
        <v>118</v>
      </c>
      <c r="M14" s="129">
        <v>1</v>
      </c>
    </row>
    <row r="15" spans="1:15" s="123" customFormat="1" ht="47.25" x14ac:dyDescent="0.2">
      <c r="A15" s="124">
        <v>5</v>
      </c>
      <c r="B15" s="142" t="s">
        <v>84</v>
      </c>
      <c r="C15" s="124" t="s">
        <v>134</v>
      </c>
      <c r="D15" s="124" t="s">
        <v>64</v>
      </c>
      <c r="E15" s="119" t="s">
        <v>142</v>
      </c>
      <c r="F15" s="119" t="s">
        <v>129</v>
      </c>
      <c r="G15" s="119" t="s">
        <v>130</v>
      </c>
      <c r="H15" s="119" t="s">
        <v>113</v>
      </c>
      <c r="I15" s="130">
        <v>43906</v>
      </c>
      <c r="J15" s="126">
        <v>2</v>
      </c>
      <c r="K15" s="127">
        <v>0</v>
      </c>
      <c r="L15" s="124" t="s">
        <v>128</v>
      </c>
      <c r="M15" s="126">
        <v>1</v>
      </c>
    </row>
    <row r="16" spans="1:15" s="123" customFormat="1" ht="47.25" x14ac:dyDescent="0.2">
      <c r="A16" s="159">
        <v>5</v>
      </c>
      <c r="B16" s="160" t="s">
        <v>84</v>
      </c>
      <c r="C16" s="159" t="s">
        <v>134</v>
      </c>
      <c r="D16" s="159" t="s">
        <v>64</v>
      </c>
      <c r="E16" s="119" t="s">
        <v>119</v>
      </c>
      <c r="F16" s="119" t="s">
        <v>115</v>
      </c>
      <c r="G16" s="119" t="s">
        <v>116</v>
      </c>
      <c r="H16" s="119" t="s">
        <v>113</v>
      </c>
      <c r="I16" s="122" t="s">
        <v>120</v>
      </c>
      <c r="J16" s="126">
        <v>12</v>
      </c>
      <c r="K16" s="127">
        <v>0</v>
      </c>
      <c r="L16" s="128" t="s">
        <v>118</v>
      </c>
      <c r="M16" s="129">
        <v>1</v>
      </c>
    </row>
    <row r="17" spans="1:13" s="123" customFormat="1" ht="47.25" x14ac:dyDescent="0.2">
      <c r="A17" s="124">
        <v>6</v>
      </c>
      <c r="B17" s="125" t="s">
        <v>85</v>
      </c>
      <c r="C17" s="119" t="s">
        <v>131</v>
      </c>
      <c r="D17" s="119" t="s">
        <v>51</v>
      </c>
      <c r="E17" s="119" t="s">
        <v>142</v>
      </c>
      <c r="F17" s="143" t="s">
        <v>129</v>
      </c>
      <c r="G17" s="143" t="s">
        <v>130</v>
      </c>
      <c r="H17" s="143" t="s">
        <v>113</v>
      </c>
      <c r="I17" s="130">
        <v>43906</v>
      </c>
      <c r="J17" s="129">
        <v>2</v>
      </c>
      <c r="K17" s="144">
        <v>0</v>
      </c>
      <c r="L17" s="128" t="s">
        <v>128</v>
      </c>
      <c r="M17" s="129">
        <v>1</v>
      </c>
    </row>
    <row r="18" spans="1:13" s="123" customFormat="1" ht="47.25" x14ac:dyDescent="0.2">
      <c r="A18" s="168">
        <v>7</v>
      </c>
      <c r="B18" s="171" t="s">
        <v>86</v>
      </c>
      <c r="C18" s="174" t="s">
        <v>140</v>
      </c>
      <c r="D18" s="174" t="s">
        <v>51</v>
      </c>
      <c r="E18" s="119" t="s">
        <v>119</v>
      </c>
      <c r="F18" s="119" t="s">
        <v>115</v>
      </c>
      <c r="G18" s="119" t="s">
        <v>116</v>
      </c>
      <c r="H18" s="119" t="s">
        <v>113</v>
      </c>
      <c r="I18" s="122" t="s">
        <v>120</v>
      </c>
      <c r="J18" s="126">
        <v>12</v>
      </c>
      <c r="K18" s="127">
        <v>0</v>
      </c>
      <c r="L18" s="128" t="s">
        <v>118</v>
      </c>
      <c r="M18" s="129">
        <v>1</v>
      </c>
    </row>
    <row r="19" spans="1:13" s="123" customFormat="1" ht="47.25" x14ac:dyDescent="0.2">
      <c r="A19" s="169"/>
      <c r="B19" s="172"/>
      <c r="C19" s="175"/>
      <c r="D19" s="175"/>
      <c r="E19" s="119" t="s">
        <v>121</v>
      </c>
      <c r="F19" s="119" t="s">
        <v>115</v>
      </c>
      <c r="G19" s="119" t="s">
        <v>116</v>
      </c>
      <c r="H19" s="119" t="s">
        <v>113</v>
      </c>
      <c r="I19" s="122" t="s">
        <v>122</v>
      </c>
      <c r="J19" s="126">
        <v>12</v>
      </c>
      <c r="K19" s="127">
        <v>0</v>
      </c>
      <c r="L19" s="128" t="s">
        <v>118</v>
      </c>
      <c r="M19" s="129">
        <v>1</v>
      </c>
    </row>
    <row r="20" spans="1:13" s="123" customFormat="1" ht="47.25" x14ac:dyDescent="0.2">
      <c r="A20" s="169"/>
      <c r="B20" s="172"/>
      <c r="C20" s="175"/>
      <c r="D20" s="175"/>
      <c r="E20" s="119" t="s">
        <v>123</v>
      </c>
      <c r="F20" s="119" t="s">
        <v>115</v>
      </c>
      <c r="G20" s="119" t="s">
        <v>116</v>
      </c>
      <c r="H20" s="119" t="s">
        <v>113</v>
      </c>
      <c r="I20" s="130">
        <v>43889</v>
      </c>
      <c r="J20" s="126">
        <v>6</v>
      </c>
      <c r="K20" s="127">
        <v>0</v>
      </c>
      <c r="L20" s="128" t="s">
        <v>118</v>
      </c>
      <c r="M20" s="129">
        <v>1</v>
      </c>
    </row>
    <row r="21" spans="1:13" s="123" customFormat="1" ht="47.25" x14ac:dyDescent="0.2">
      <c r="A21" s="170"/>
      <c r="B21" s="173"/>
      <c r="C21" s="176"/>
      <c r="D21" s="176"/>
      <c r="E21" s="119" t="s">
        <v>124</v>
      </c>
      <c r="F21" s="119" t="s">
        <v>125</v>
      </c>
      <c r="G21" s="119" t="s">
        <v>116</v>
      </c>
      <c r="H21" s="119" t="s">
        <v>126</v>
      </c>
      <c r="I21" s="122" t="s">
        <v>127</v>
      </c>
      <c r="J21" s="126">
        <v>162</v>
      </c>
      <c r="K21" s="131">
        <v>40000</v>
      </c>
      <c r="L21" s="128" t="s">
        <v>118</v>
      </c>
      <c r="M21" s="129">
        <v>1</v>
      </c>
    </row>
    <row r="22" spans="1:13" s="123" customFormat="1" ht="47.25" x14ac:dyDescent="0.2">
      <c r="A22" s="124">
        <v>8</v>
      </c>
      <c r="B22" s="125" t="s">
        <v>88</v>
      </c>
      <c r="C22" s="119" t="s">
        <v>131</v>
      </c>
      <c r="D22" s="119" t="s">
        <v>51</v>
      </c>
      <c r="E22" s="119" t="s">
        <v>142</v>
      </c>
      <c r="F22" s="143" t="s">
        <v>129</v>
      </c>
      <c r="G22" s="143" t="s">
        <v>130</v>
      </c>
      <c r="H22" s="143" t="s">
        <v>113</v>
      </c>
      <c r="I22" s="130">
        <v>43906</v>
      </c>
      <c r="J22" s="129">
        <v>2</v>
      </c>
      <c r="K22" s="144">
        <v>0</v>
      </c>
      <c r="L22" s="128" t="s">
        <v>128</v>
      </c>
      <c r="M22" s="129">
        <v>1</v>
      </c>
    </row>
    <row r="23" spans="1:13" s="123" customFormat="1" ht="47.25" x14ac:dyDescent="0.2">
      <c r="A23" s="168">
        <v>9</v>
      </c>
      <c r="B23" s="171" t="s">
        <v>89</v>
      </c>
      <c r="C23" s="174" t="s">
        <v>139</v>
      </c>
      <c r="D23" s="174" t="s">
        <v>51</v>
      </c>
      <c r="E23" s="119" t="s">
        <v>142</v>
      </c>
      <c r="F23" s="143" t="s">
        <v>129</v>
      </c>
      <c r="G23" s="143" t="s">
        <v>130</v>
      </c>
      <c r="H23" s="143" t="s">
        <v>113</v>
      </c>
      <c r="I23" s="130">
        <v>43906</v>
      </c>
      <c r="J23" s="129">
        <v>2</v>
      </c>
      <c r="K23" s="144">
        <v>0</v>
      </c>
      <c r="L23" s="128" t="s">
        <v>128</v>
      </c>
      <c r="M23" s="129">
        <v>1</v>
      </c>
    </row>
    <row r="24" spans="1:13" s="123" customFormat="1" ht="47.25" x14ac:dyDescent="0.2">
      <c r="A24" s="169"/>
      <c r="B24" s="172"/>
      <c r="C24" s="175"/>
      <c r="D24" s="175"/>
      <c r="E24" s="119" t="s">
        <v>114</v>
      </c>
      <c r="F24" s="119" t="s">
        <v>115</v>
      </c>
      <c r="G24" s="119" t="s">
        <v>116</v>
      </c>
      <c r="H24" s="119" t="s">
        <v>113</v>
      </c>
      <c r="I24" s="122" t="s">
        <v>117</v>
      </c>
      <c r="J24" s="126">
        <v>12</v>
      </c>
      <c r="K24" s="127">
        <v>0</v>
      </c>
      <c r="L24" s="128" t="s">
        <v>118</v>
      </c>
      <c r="M24" s="129">
        <v>1</v>
      </c>
    </row>
    <row r="25" spans="1:13" s="123" customFormat="1" ht="47.25" x14ac:dyDescent="0.2">
      <c r="A25" s="169"/>
      <c r="B25" s="172"/>
      <c r="C25" s="175"/>
      <c r="D25" s="175"/>
      <c r="E25" s="119" t="s">
        <v>119</v>
      </c>
      <c r="F25" s="119" t="s">
        <v>115</v>
      </c>
      <c r="G25" s="119" t="s">
        <v>116</v>
      </c>
      <c r="H25" s="119" t="s">
        <v>113</v>
      </c>
      <c r="I25" s="122" t="s">
        <v>120</v>
      </c>
      <c r="J25" s="126">
        <v>12</v>
      </c>
      <c r="K25" s="127">
        <v>0</v>
      </c>
      <c r="L25" s="128" t="s">
        <v>118</v>
      </c>
      <c r="M25" s="129">
        <v>1</v>
      </c>
    </row>
    <row r="26" spans="1:13" s="123" customFormat="1" ht="47.25" x14ac:dyDescent="0.2">
      <c r="A26" s="170"/>
      <c r="B26" s="173"/>
      <c r="C26" s="176"/>
      <c r="D26" s="176"/>
      <c r="E26" s="119" t="s">
        <v>121</v>
      </c>
      <c r="F26" s="119" t="s">
        <v>115</v>
      </c>
      <c r="G26" s="119" t="s">
        <v>116</v>
      </c>
      <c r="H26" s="119" t="s">
        <v>113</v>
      </c>
      <c r="I26" s="122" t="s">
        <v>122</v>
      </c>
      <c r="J26" s="126">
        <v>12</v>
      </c>
      <c r="K26" s="127">
        <v>0</v>
      </c>
      <c r="L26" s="128" t="s">
        <v>118</v>
      </c>
      <c r="M26" s="129">
        <v>1</v>
      </c>
    </row>
    <row r="27" spans="1:13" s="123" customFormat="1" ht="47.25" x14ac:dyDescent="0.2">
      <c r="A27" s="168">
        <v>10</v>
      </c>
      <c r="B27" s="171" t="s">
        <v>92</v>
      </c>
      <c r="C27" s="174" t="s">
        <v>134</v>
      </c>
      <c r="D27" s="174" t="s">
        <v>64</v>
      </c>
      <c r="E27" s="119" t="s">
        <v>114</v>
      </c>
      <c r="F27" s="119" t="s">
        <v>115</v>
      </c>
      <c r="G27" s="119" t="s">
        <v>116</v>
      </c>
      <c r="H27" s="119" t="s">
        <v>113</v>
      </c>
      <c r="I27" s="122" t="s">
        <v>117</v>
      </c>
      <c r="J27" s="126">
        <v>12</v>
      </c>
      <c r="K27" s="127">
        <v>0</v>
      </c>
      <c r="L27" s="128" t="s">
        <v>118</v>
      </c>
      <c r="M27" s="129">
        <v>1</v>
      </c>
    </row>
    <row r="28" spans="1:13" s="123" customFormat="1" ht="47.25" x14ac:dyDescent="0.2">
      <c r="A28" s="169"/>
      <c r="B28" s="172"/>
      <c r="C28" s="175"/>
      <c r="D28" s="175"/>
      <c r="E28" s="119" t="s">
        <v>119</v>
      </c>
      <c r="F28" s="119" t="s">
        <v>115</v>
      </c>
      <c r="G28" s="119" t="s">
        <v>116</v>
      </c>
      <c r="H28" s="119" t="s">
        <v>113</v>
      </c>
      <c r="I28" s="122" t="s">
        <v>120</v>
      </c>
      <c r="J28" s="126">
        <v>12</v>
      </c>
      <c r="K28" s="127">
        <v>0</v>
      </c>
      <c r="L28" s="128" t="s">
        <v>118</v>
      </c>
      <c r="M28" s="129">
        <v>1</v>
      </c>
    </row>
    <row r="29" spans="1:13" s="123" customFormat="1" ht="47.25" x14ac:dyDescent="0.2">
      <c r="A29" s="170"/>
      <c r="B29" s="173"/>
      <c r="C29" s="176"/>
      <c r="D29" s="176"/>
      <c r="E29" s="119" t="s">
        <v>121</v>
      </c>
      <c r="F29" s="119" t="s">
        <v>115</v>
      </c>
      <c r="G29" s="119" t="s">
        <v>116</v>
      </c>
      <c r="H29" s="119" t="s">
        <v>113</v>
      </c>
      <c r="I29" s="122" t="s">
        <v>122</v>
      </c>
      <c r="J29" s="126">
        <v>12</v>
      </c>
      <c r="K29" s="127">
        <v>0</v>
      </c>
      <c r="L29" s="128" t="s">
        <v>118</v>
      </c>
      <c r="M29" s="129">
        <v>1</v>
      </c>
    </row>
    <row r="30" spans="1:13" s="123" customFormat="1" ht="47.25" x14ac:dyDescent="0.2">
      <c r="A30" s="168">
        <v>11</v>
      </c>
      <c r="B30" s="171" t="s">
        <v>93</v>
      </c>
      <c r="C30" s="174" t="s">
        <v>135</v>
      </c>
      <c r="D30" s="174" t="s">
        <v>51</v>
      </c>
      <c r="E30" s="119" t="s">
        <v>142</v>
      </c>
      <c r="F30" s="143" t="s">
        <v>129</v>
      </c>
      <c r="G30" s="143" t="s">
        <v>130</v>
      </c>
      <c r="H30" s="143" t="s">
        <v>113</v>
      </c>
      <c r="I30" s="130">
        <v>43906</v>
      </c>
      <c r="J30" s="129">
        <v>2</v>
      </c>
      <c r="K30" s="144">
        <v>0</v>
      </c>
      <c r="L30" s="128" t="s">
        <v>128</v>
      </c>
      <c r="M30" s="129">
        <v>1</v>
      </c>
    </row>
    <row r="31" spans="1:13" s="123" customFormat="1" ht="47.25" x14ac:dyDescent="0.2">
      <c r="A31" s="170"/>
      <c r="B31" s="173"/>
      <c r="C31" s="176"/>
      <c r="D31" s="176"/>
      <c r="E31" s="119" t="s">
        <v>114</v>
      </c>
      <c r="F31" s="119" t="s">
        <v>115</v>
      </c>
      <c r="G31" s="119" t="s">
        <v>116</v>
      </c>
      <c r="H31" s="119" t="s">
        <v>113</v>
      </c>
      <c r="I31" s="122" t="s">
        <v>117</v>
      </c>
      <c r="J31" s="126">
        <v>12</v>
      </c>
      <c r="K31" s="127">
        <v>0</v>
      </c>
      <c r="L31" s="128" t="s">
        <v>118</v>
      </c>
      <c r="M31" s="129">
        <v>1</v>
      </c>
    </row>
    <row r="32" spans="1:13" s="123" customFormat="1" ht="47.25" x14ac:dyDescent="0.2">
      <c r="A32" s="168">
        <v>12</v>
      </c>
      <c r="B32" s="171" t="s">
        <v>95</v>
      </c>
      <c r="C32" s="174" t="s">
        <v>139</v>
      </c>
      <c r="D32" s="174" t="s">
        <v>51</v>
      </c>
      <c r="E32" s="119" t="s">
        <v>142</v>
      </c>
      <c r="F32" s="143" t="s">
        <v>129</v>
      </c>
      <c r="G32" s="143" t="s">
        <v>130</v>
      </c>
      <c r="H32" s="143" t="s">
        <v>113</v>
      </c>
      <c r="I32" s="130">
        <v>43906</v>
      </c>
      <c r="J32" s="129">
        <v>2</v>
      </c>
      <c r="K32" s="144">
        <v>0</v>
      </c>
      <c r="L32" s="128" t="s">
        <v>128</v>
      </c>
      <c r="M32" s="129">
        <v>1</v>
      </c>
    </row>
    <row r="33" spans="1:13" s="123" customFormat="1" ht="47.25" x14ac:dyDescent="0.2">
      <c r="A33" s="169"/>
      <c r="B33" s="172"/>
      <c r="C33" s="175"/>
      <c r="D33" s="175"/>
      <c r="E33" s="119" t="s">
        <v>114</v>
      </c>
      <c r="F33" s="119" t="s">
        <v>115</v>
      </c>
      <c r="G33" s="119" t="s">
        <v>116</v>
      </c>
      <c r="H33" s="119" t="s">
        <v>113</v>
      </c>
      <c r="I33" s="122" t="s">
        <v>117</v>
      </c>
      <c r="J33" s="126">
        <v>12</v>
      </c>
      <c r="K33" s="127">
        <v>0</v>
      </c>
      <c r="L33" s="128" t="s">
        <v>118</v>
      </c>
      <c r="M33" s="129">
        <v>1</v>
      </c>
    </row>
    <row r="34" spans="1:13" s="123" customFormat="1" ht="47.25" x14ac:dyDescent="0.2">
      <c r="A34" s="170"/>
      <c r="B34" s="173"/>
      <c r="C34" s="176"/>
      <c r="D34" s="176"/>
      <c r="E34" s="119" t="s">
        <v>119</v>
      </c>
      <c r="F34" s="119" t="s">
        <v>115</v>
      </c>
      <c r="G34" s="119" t="s">
        <v>116</v>
      </c>
      <c r="H34" s="119" t="s">
        <v>113</v>
      </c>
      <c r="I34" s="122" t="s">
        <v>120</v>
      </c>
      <c r="J34" s="126">
        <v>12</v>
      </c>
      <c r="K34" s="127">
        <v>0</v>
      </c>
      <c r="L34" s="128" t="s">
        <v>118</v>
      </c>
      <c r="M34" s="129">
        <v>1</v>
      </c>
    </row>
    <row r="35" spans="1:13" s="123" customFormat="1" ht="47.25" x14ac:dyDescent="0.2">
      <c r="A35" s="153">
        <v>13</v>
      </c>
      <c r="B35" s="154" t="s">
        <v>96</v>
      </c>
      <c r="C35" s="153" t="s">
        <v>141</v>
      </c>
      <c r="D35" s="153" t="s">
        <v>51</v>
      </c>
      <c r="E35" s="119" t="s">
        <v>114</v>
      </c>
      <c r="F35" s="119" t="s">
        <v>115</v>
      </c>
      <c r="G35" s="119" t="s">
        <v>116</v>
      </c>
      <c r="H35" s="119" t="s">
        <v>113</v>
      </c>
      <c r="I35" s="122" t="s">
        <v>117</v>
      </c>
      <c r="J35" s="126">
        <v>12</v>
      </c>
      <c r="K35" s="127">
        <v>0</v>
      </c>
      <c r="L35" s="128" t="s">
        <v>118</v>
      </c>
      <c r="M35" s="129">
        <v>1</v>
      </c>
    </row>
    <row r="36" spans="1:13" s="123" customFormat="1" ht="47.25" x14ac:dyDescent="0.2">
      <c r="A36" s="155"/>
      <c r="B36" s="156"/>
      <c r="C36" s="155"/>
      <c r="D36" s="155"/>
      <c r="E36" s="119" t="s">
        <v>119</v>
      </c>
      <c r="F36" s="119" t="s">
        <v>115</v>
      </c>
      <c r="G36" s="119" t="s">
        <v>116</v>
      </c>
      <c r="H36" s="119" t="s">
        <v>113</v>
      </c>
      <c r="I36" s="122" t="s">
        <v>120</v>
      </c>
      <c r="J36" s="126">
        <v>12</v>
      </c>
      <c r="K36" s="127">
        <v>0</v>
      </c>
      <c r="L36" s="128" t="s">
        <v>118</v>
      </c>
      <c r="M36" s="129">
        <v>1</v>
      </c>
    </row>
    <row r="37" spans="1:13" s="123" customFormat="1" ht="47.25" x14ac:dyDescent="0.2">
      <c r="A37" s="157"/>
      <c r="B37" s="158"/>
      <c r="C37" s="157"/>
      <c r="D37" s="157"/>
      <c r="E37" s="119" t="s">
        <v>121</v>
      </c>
      <c r="F37" s="119" t="s">
        <v>115</v>
      </c>
      <c r="G37" s="119" t="s">
        <v>116</v>
      </c>
      <c r="H37" s="119" t="s">
        <v>113</v>
      </c>
      <c r="I37" s="122" t="s">
        <v>122</v>
      </c>
      <c r="J37" s="126">
        <v>12</v>
      </c>
      <c r="K37" s="127">
        <v>0</v>
      </c>
      <c r="L37" s="128" t="s">
        <v>118</v>
      </c>
      <c r="M37" s="129">
        <v>1</v>
      </c>
    </row>
    <row r="38" spans="1:13" s="123" customFormat="1" ht="47.25" x14ac:dyDescent="0.2">
      <c r="A38" s="153">
        <v>13</v>
      </c>
      <c r="B38" s="154" t="s">
        <v>96</v>
      </c>
      <c r="C38" s="153" t="s">
        <v>141</v>
      </c>
      <c r="D38" s="153" t="s">
        <v>51</v>
      </c>
      <c r="E38" s="119" t="s">
        <v>123</v>
      </c>
      <c r="F38" s="119" t="s">
        <v>115</v>
      </c>
      <c r="G38" s="119" t="s">
        <v>116</v>
      </c>
      <c r="H38" s="119" t="s">
        <v>113</v>
      </c>
      <c r="I38" s="122">
        <v>43889</v>
      </c>
      <c r="J38" s="126">
        <v>6</v>
      </c>
      <c r="K38" s="127">
        <v>0</v>
      </c>
      <c r="L38" s="128" t="s">
        <v>118</v>
      </c>
      <c r="M38" s="129">
        <v>1</v>
      </c>
    </row>
    <row r="39" spans="1:13" s="123" customFormat="1" ht="47.25" x14ac:dyDescent="0.2">
      <c r="A39" s="168">
        <v>14</v>
      </c>
      <c r="B39" s="171" t="s">
        <v>98</v>
      </c>
      <c r="C39" s="174" t="s">
        <v>139</v>
      </c>
      <c r="D39" s="174" t="s">
        <v>51</v>
      </c>
      <c r="E39" s="119" t="s">
        <v>142</v>
      </c>
      <c r="F39" s="143" t="s">
        <v>129</v>
      </c>
      <c r="G39" s="143" t="s">
        <v>130</v>
      </c>
      <c r="H39" s="143" t="s">
        <v>113</v>
      </c>
      <c r="I39" s="130">
        <v>43906</v>
      </c>
      <c r="J39" s="129">
        <v>2</v>
      </c>
      <c r="K39" s="144">
        <v>0</v>
      </c>
      <c r="L39" s="128" t="s">
        <v>128</v>
      </c>
      <c r="M39" s="129">
        <v>1</v>
      </c>
    </row>
    <row r="40" spans="1:13" s="123" customFormat="1" ht="47.25" x14ac:dyDescent="0.2">
      <c r="A40" s="169"/>
      <c r="B40" s="172"/>
      <c r="C40" s="175"/>
      <c r="D40" s="175"/>
      <c r="E40" s="119" t="s">
        <v>114</v>
      </c>
      <c r="F40" s="119" t="s">
        <v>115</v>
      </c>
      <c r="G40" s="119" t="s">
        <v>116</v>
      </c>
      <c r="H40" s="119" t="s">
        <v>113</v>
      </c>
      <c r="I40" s="122" t="s">
        <v>117</v>
      </c>
      <c r="J40" s="126">
        <v>12</v>
      </c>
      <c r="K40" s="127">
        <v>0</v>
      </c>
      <c r="L40" s="128" t="s">
        <v>118</v>
      </c>
      <c r="M40" s="129">
        <v>1</v>
      </c>
    </row>
    <row r="41" spans="1:13" s="123" customFormat="1" ht="47.25" x14ac:dyDescent="0.2">
      <c r="A41" s="170"/>
      <c r="B41" s="173"/>
      <c r="C41" s="176"/>
      <c r="D41" s="176"/>
      <c r="E41" s="119" t="s">
        <v>119</v>
      </c>
      <c r="F41" s="119" t="s">
        <v>115</v>
      </c>
      <c r="G41" s="119" t="s">
        <v>116</v>
      </c>
      <c r="H41" s="119" t="s">
        <v>113</v>
      </c>
      <c r="I41" s="122" t="s">
        <v>120</v>
      </c>
      <c r="J41" s="126">
        <v>12</v>
      </c>
      <c r="K41" s="127">
        <v>0</v>
      </c>
      <c r="L41" s="128" t="s">
        <v>118</v>
      </c>
      <c r="M41" s="129">
        <v>1</v>
      </c>
    </row>
    <row r="42" spans="1:13" s="123" customFormat="1" ht="47.25" x14ac:dyDescent="0.2">
      <c r="A42" s="124">
        <v>15</v>
      </c>
      <c r="B42" s="125" t="s">
        <v>101</v>
      </c>
      <c r="C42" s="119" t="s">
        <v>137</v>
      </c>
      <c r="D42" s="119" t="s">
        <v>64</v>
      </c>
      <c r="E42" s="119" t="s">
        <v>142</v>
      </c>
      <c r="F42" s="143" t="s">
        <v>129</v>
      </c>
      <c r="G42" s="143" t="s">
        <v>130</v>
      </c>
      <c r="H42" s="143" t="s">
        <v>113</v>
      </c>
      <c r="I42" s="130">
        <v>43906</v>
      </c>
      <c r="J42" s="129">
        <v>2</v>
      </c>
      <c r="K42" s="144">
        <v>0</v>
      </c>
      <c r="L42" s="128" t="s">
        <v>128</v>
      </c>
      <c r="M42" s="129">
        <v>1</v>
      </c>
    </row>
    <row r="43" spans="1:13" s="123" customFormat="1" ht="47.25" x14ac:dyDescent="0.2">
      <c r="A43" s="124">
        <v>16</v>
      </c>
      <c r="B43" s="125" t="s">
        <v>103</v>
      </c>
      <c r="C43" s="119" t="s">
        <v>137</v>
      </c>
      <c r="D43" s="119" t="s">
        <v>64</v>
      </c>
      <c r="E43" s="119" t="s">
        <v>142</v>
      </c>
      <c r="F43" s="143" t="s">
        <v>129</v>
      </c>
      <c r="G43" s="143" t="s">
        <v>130</v>
      </c>
      <c r="H43" s="143" t="s">
        <v>113</v>
      </c>
      <c r="I43" s="130">
        <v>43906</v>
      </c>
      <c r="J43" s="129">
        <v>2</v>
      </c>
      <c r="K43" s="144">
        <v>0</v>
      </c>
      <c r="L43" s="128" t="s">
        <v>128</v>
      </c>
      <c r="M43" s="129">
        <v>1</v>
      </c>
    </row>
    <row r="44" spans="1:13" s="123" customFormat="1" ht="47.25" x14ac:dyDescent="0.2">
      <c r="A44" s="124">
        <v>17</v>
      </c>
      <c r="B44" s="125" t="s">
        <v>104</v>
      </c>
      <c r="C44" s="119" t="s">
        <v>134</v>
      </c>
      <c r="D44" s="119" t="s">
        <v>64</v>
      </c>
      <c r="E44" s="119" t="s">
        <v>142</v>
      </c>
      <c r="F44" s="143" t="s">
        <v>129</v>
      </c>
      <c r="G44" s="143" t="s">
        <v>130</v>
      </c>
      <c r="H44" s="143" t="s">
        <v>113</v>
      </c>
      <c r="I44" s="130">
        <v>43906</v>
      </c>
      <c r="J44" s="129">
        <v>2</v>
      </c>
      <c r="K44" s="144">
        <v>0</v>
      </c>
      <c r="L44" s="128" t="s">
        <v>128</v>
      </c>
      <c r="M44" s="129">
        <v>1</v>
      </c>
    </row>
    <row r="45" spans="1:13" s="123" customFormat="1" ht="47.25" x14ac:dyDescent="0.2">
      <c r="A45" s="168">
        <v>18</v>
      </c>
      <c r="B45" s="171" t="s">
        <v>105</v>
      </c>
      <c r="C45" s="174" t="s">
        <v>134</v>
      </c>
      <c r="D45" s="174" t="s">
        <v>64</v>
      </c>
      <c r="E45" s="119" t="s">
        <v>142</v>
      </c>
      <c r="F45" s="143" t="s">
        <v>129</v>
      </c>
      <c r="G45" s="143" t="s">
        <v>130</v>
      </c>
      <c r="H45" s="143" t="s">
        <v>113</v>
      </c>
      <c r="I45" s="130">
        <v>43906</v>
      </c>
      <c r="J45" s="129">
        <v>2</v>
      </c>
      <c r="K45" s="144">
        <v>0</v>
      </c>
      <c r="L45" s="128" t="s">
        <v>128</v>
      </c>
      <c r="M45" s="129">
        <v>1</v>
      </c>
    </row>
    <row r="46" spans="1:13" s="123" customFormat="1" ht="47.25" x14ac:dyDescent="0.2">
      <c r="A46" s="170"/>
      <c r="B46" s="173"/>
      <c r="C46" s="176"/>
      <c r="D46" s="176"/>
      <c r="E46" s="119" t="s">
        <v>119</v>
      </c>
      <c r="F46" s="119" t="s">
        <v>115</v>
      </c>
      <c r="G46" s="119" t="s">
        <v>116</v>
      </c>
      <c r="H46" s="119" t="s">
        <v>113</v>
      </c>
      <c r="I46" s="122" t="s">
        <v>120</v>
      </c>
      <c r="J46" s="126">
        <v>12</v>
      </c>
      <c r="K46" s="127">
        <v>0</v>
      </c>
      <c r="L46" s="128" t="s">
        <v>118</v>
      </c>
      <c r="M46" s="129">
        <v>1</v>
      </c>
    </row>
    <row r="47" spans="1:13" s="123" customFormat="1" ht="47.25" x14ac:dyDescent="0.2">
      <c r="A47" s="124">
        <v>19</v>
      </c>
      <c r="B47" s="125" t="s">
        <v>106</v>
      </c>
      <c r="C47" s="119" t="s">
        <v>138</v>
      </c>
      <c r="D47" s="119" t="s">
        <v>51</v>
      </c>
      <c r="E47" s="119" t="s">
        <v>142</v>
      </c>
      <c r="F47" s="143" t="s">
        <v>129</v>
      </c>
      <c r="G47" s="143" t="s">
        <v>130</v>
      </c>
      <c r="H47" s="143" t="s">
        <v>113</v>
      </c>
      <c r="I47" s="130">
        <v>43906</v>
      </c>
      <c r="J47" s="129">
        <v>2</v>
      </c>
      <c r="K47" s="144">
        <v>0</v>
      </c>
      <c r="L47" s="128" t="s">
        <v>128</v>
      </c>
      <c r="M47" s="129">
        <v>1</v>
      </c>
    </row>
    <row r="48" spans="1:13" s="123" customFormat="1" ht="47.25" x14ac:dyDescent="0.2">
      <c r="A48" s="124">
        <v>20</v>
      </c>
      <c r="B48" s="125" t="s">
        <v>108</v>
      </c>
      <c r="C48" s="119" t="s">
        <v>136</v>
      </c>
      <c r="D48" s="119" t="s">
        <v>51</v>
      </c>
      <c r="E48" s="119" t="s">
        <v>142</v>
      </c>
      <c r="F48" s="143" t="s">
        <v>129</v>
      </c>
      <c r="G48" s="143" t="s">
        <v>130</v>
      </c>
      <c r="H48" s="143" t="s">
        <v>113</v>
      </c>
      <c r="I48" s="130">
        <v>43906</v>
      </c>
      <c r="J48" s="129">
        <v>2</v>
      </c>
      <c r="K48" s="144">
        <v>0</v>
      </c>
      <c r="L48" s="128" t="s">
        <v>128</v>
      </c>
      <c r="M48" s="129">
        <v>1</v>
      </c>
    </row>
    <row r="49" spans="1:15" s="123" customFormat="1" ht="47.25" x14ac:dyDescent="0.2">
      <c r="A49" s="124">
        <v>21</v>
      </c>
      <c r="B49" s="125" t="s">
        <v>109</v>
      </c>
      <c r="C49" s="119" t="s">
        <v>136</v>
      </c>
      <c r="D49" s="119" t="s">
        <v>51</v>
      </c>
      <c r="E49" s="119" t="s">
        <v>142</v>
      </c>
      <c r="F49" s="143" t="s">
        <v>129</v>
      </c>
      <c r="G49" s="143" t="s">
        <v>130</v>
      </c>
      <c r="H49" s="143" t="s">
        <v>113</v>
      </c>
      <c r="I49" s="130">
        <v>43906</v>
      </c>
      <c r="J49" s="129">
        <v>2</v>
      </c>
      <c r="K49" s="144">
        <v>0</v>
      </c>
      <c r="L49" s="128" t="s">
        <v>128</v>
      </c>
      <c r="M49" s="129">
        <v>1</v>
      </c>
    </row>
    <row r="50" spans="1:15" s="123" customFormat="1" ht="47.25" x14ac:dyDescent="0.2">
      <c r="A50" s="124">
        <v>22</v>
      </c>
      <c r="B50" s="125" t="s">
        <v>110</v>
      </c>
      <c r="C50" s="119" t="s">
        <v>133</v>
      </c>
      <c r="D50" s="119" t="s">
        <v>51</v>
      </c>
      <c r="E50" s="119" t="s">
        <v>142</v>
      </c>
      <c r="F50" s="143" t="s">
        <v>129</v>
      </c>
      <c r="G50" s="143" t="s">
        <v>130</v>
      </c>
      <c r="H50" s="143" t="s">
        <v>113</v>
      </c>
      <c r="I50" s="130">
        <v>43906</v>
      </c>
      <c r="J50" s="129">
        <v>2</v>
      </c>
      <c r="K50" s="144">
        <v>0</v>
      </c>
      <c r="L50" s="128" t="s">
        <v>128</v>
      </c>
      <c r="M50" s="129">
        <v>1</v>
      </c>
    </row>
    <row r="51" spans="1:15" s="123" customFormat="1" ht="47.25" x14ac:dyDescent="0.2">
      <c r="A51" s="124">
        <v>23</v>
      </c>
      <c r="B51" s="125" t="s">
        <v>111</v>
      </c>
      <c r="C51" s="119" t="s">
        <v>112</v>
      </c>
      <c r="D51" s="119" t="s">
        <v>64</v>
      </c>
      <c r="E51" s="119" t="s">
        <v>142</v>
      </c>
      <c r="F51" s="143" t="s">
        <v>129</v>
      </c>
      <c r="G51" s="143" t="s">
        <v>130</v>
      </c>
      <c r="H51" s="143" t="s">
        <v>113</v>
      </c>
      <c r="I51" s="130">
        <v>43906</v>
      </c>
      <c r="J51" s="129">
        <v>2</v>
      </c>
      <c r="K51" s="144">
        <v>0</v>
      </c>
      <c r="L51" s="128" t="s">
        <v>128</v>
      </c>
      <c r="M51" s="129">
        <v>1</v>
      </c>
    </row>
    <row r="52" spans="1:15" s="141" customFormat="1" ht="18.75" x14ac:dyDescent="0.2">
      <c r="A52" s="145"/>
      <c r="B52" s="146"/>
      <c r="C52" s="147"/>
      <c r="D52" s="148"/>
      <c r="E52" s="147"/>
      <c r="F52" s="147"/>
      <c r="G52" s="147"/>
      <c r="H52" s="145"/>
      <c r="I52" s="147"/>
      <c r="J52" s="149"/>
      <c r="K52" s="150"/>
      <c r="L52" s="151"/>
      <c r="M52" s="152"/>
    </row>
    <row r="53" spans="1:15" s="141" customFormat="1" ht="18.75" x14ac:dyDescent="0.2">
      <c r="A53" s="132"/>
      <c r="B53" s="133"/>
      <c r="C53" s="134"/>
      <c r="D53" s="135"/>
      <c r="E53" s="134"/>
      <c r="F53" s="134"/>
      <c r="G53" s="134"/>
      <c r="H53" s="132"/>
      <c r="I53" s="134"/>
      <c r="J53" s="136"/>
      <c r="K53" s="137"/>
      <c r="L53" s="138"/>
      <c r="M53" s="139"/>
      <c r="N53" s="140"/>
      <c r="O53" s="140"/>
    </row>
  </sheetData>
  <sheetProtection selectLockedCells="1"/>
  <protectedRanges>
    <protectedRange password="CE28" sqref="H4:I4 H2 B2" name="ช่วง1_2"/>
  </protectedRanges>
  <mergeCells count="45">
    <mergeCell ref="A39:A41"/>
    <mergeCell ref="B39:B41"/>
    <mergeCell ref="C39:C41"/>
    <mergeCell ref="D39:D41"/>
    <mergeCell ref="A45:A46"/>
    <mergeCell ref="B45:B46"/>
    <mergeCell ref="C45:C46"/>
    <mergeCell ref="D45:D46"/>
    <mergeCell ref="A32:A34"/>
    <mergeCell ref="B32:B34"/>
    <mergeCell ref="C32:C34"/>
    <mergeCell ref="D32:D34"/>
    <mergeCell ref="A27:A29"/>
    <mergeCell ref="B27:B29"/>
    <mergeCell ref="C27:C29"/>
    <mergeCell ref="D27:D29"/>
    <mergeCell ref="A30:A31"/>
    <mergeCell ref="B30:B31"/>
    <mergeCell ref="C30:C31"/>
    <mergeCell ref="D30:D31"/>
    <mergeCell ref="A18:A21"/>
    <mergeCell ref="B18:B21"/>
    <mergeCell ref="C18:C21"/>
    <mergeCell ref="D18:D21"/>
    <mergeCell ref="A23:A26"/>
    <mergeCell ref="B23:B26"/>
    <mergeCell ref="C23:C26"/>
    <mergeCell ref="D23:D26"/>
    <mergeCell ref="A11:A13"/>
    <mergeCell ref="B11:B13"/>
    <mergeCell ref="C11:C13"/>
    <mergeCell ref="D11:D13"/>
    <mergeCell ref="A7:A8"/>
    <mergeCell ref="B7:B8"/>
    <mergeCell ref="C7:C8"/>
    <mergeCell ref="D7:D8"/>
    <mergeCell ref="A9:A10"/>
    <mergeCell ref="B9:B10"/>
    <mergeCell ref="C9:C10"/>
    <mergeCell ref="D9:D10"/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29:D1427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 D9 D11 D14:D18 D22:D23 D27 D30 D32 D35 D38:D39 D42:D45 D47:D928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28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28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28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28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28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934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view="pageBreakPreview" topLeftCell="A7" zoomScale="110" zoomScaleNormal="100" zoomScaleSheetLayoutView="110" zoomScalePageLayoutView="120" workbookViewId="0">
      <selection activeCell="T6" sqref="T6"/>
    </sheetView>
  </sheetViews>
  <sheetFormatPr defaultRowHeight="18.75" x14ac:dyDescent="0.2"/>
  <cols>
    <col min="1" max="1" width="3.125" style="18" customWidth="1"/>
    <col min="2" max="2" width="19.125" style="18" customWidth="1"/>
    <col min="3" max="3" width="10.5" style="18" customWidth="1"/>
    <col min="4" max="4" width="8.25" style="18" customWidth="1"/>
    <col min="5" max="5" width="28.5" style="18" customWidth="1"/>
    <col min="6" max="6" width="8.75" style="18" customWidth="1"/>
    <col min="7" max="7" width="1.5" style="18" customWidth="1"/>
    <col min="8" max="8" width="12.25" style="18" customWidth="1"/>
    <col min="9" max="9" width="9.75" style="18" customWidth="1"/>
    <col min="10" max="10" width="7.375" style="26" customWidth="1"/>
    <col min="11" max="11" width="8.375" style="18" customWidth="1"/>
    <col min="12" max="12" width="9.25" style="18" customWidth="1"/>
    <col min="13" max="13" width="7" style="18" customWidth="1"/>
    <col min="14" max="14" width="0.875" style="18" customWidth="1"/>
    <col min="15" max="15" width="5.125" style="22" customWidth="1"/>
    <col min="16" max="16384" width="9" style="18"/>
  </cols>
  <sheetData>
    <row r="1" spans="1:17" s="10" customFormat="1" ht="36.75" customHeight="1" x14ac:dyDescent="0.35">
      <c r="A1" s="216" t="s">
        <v>69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52"/>
      <c r="O1" s="20"/>
      <c r="P1" s="8"/>
      <c r="Q1" s="9"/>
    </row>
    <row r="2" spans="1:17" s="10" customFormat="1" ht="24.75" customHeight="1" x14ac:dyDescent="0.25">
      <c r="A2" s="5"/>
      <c r="B2" s="3"/>
      <c r="C2" s="28" t="s">
        <v>7</v>
      </c>
      <c r="D2" s="223" t="str">
        <f>เก็บข้อมูลHRD!C2</f>
        <v>ศูนย์เทคโนโลยีสารสนเทศและการสื่อสาร</v>
      </c>
      <c r="E2" s="223"/>
      <c r="F2" s="223"/>
      <c r="G2" s="223"/>
      <c r="H2" s="223"/>
      <c r="I2" s="223"/>
      <c r="J2" s="224" t="s">
        <v>72</v>
      </c>
      <c r="K2" s="224"/>
      <c r="L2" s="223" t="str">
        <f>เก็บข้อมูลHRD!J4</f>
        <v>นางสาวจีรพรรณ ทองแท่น</v>
      </c>
      <c r="M2" s="223"/>
      <c r="N2" s="53"/>
      <c r="O2" s="19"/>
    </row>
    <row r="3" spans="1:17" s="10" customFormat="1" ht="4.5" customHeight="1" x14ac:dyDescent="0.4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 x14ac:dyDescent="0.25">
      <c r="A4" s="6"/>
      <c r="B4" s="218" t="s">
        <v>46</v>
      </c>
      <c r="C4" s="219"/>
      <c r="D4" s="71">
        <f>เก็บข้อมูลHRD!D4</f>
        <v>16</v>
      </c>
      <c r="E4" s="29" t="s">
        <v>53</v>
      </c>
      <c r="F4" s="71">
        <f>เก็บข้อมูลHRD!F4</f>
        <v>10</v>
      </c>
      <c r="G4" s="30"/>
      <c r="H4" s="31" t="s">
        <v>47</v>
      </c>
      <c r="I4" s="220">
        <f>เก็บข้อมูลHRD!H4</f>
        <v>2563</v>
      </c>
      <c r="J4" s="221"/>
      <c r="K4" s="222" t="s">
        <v>45</v>
      </c>
      <c r="L4" s="222"/>
      <c r="M4" s="32">
        <f>เก็บข้อมูลHRD!L4:M4</f>
        <v>43909</v>
      </c>
      <c r="N4" s="54"/>
      <c r="O4" s="21"/>
      <c r="P4" s="16"/>
    </row>
    <row r="5" spans="1:17" s="24" customFormat="1" ht="5.25" customHeight="1" x14ac:dyDescent="0.2">
      <c r="A5" s="7"/>
      <c r="B5" s="215"/>
      <c r="C5" s="215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 x14ac:dyDescent="0.2">
      <c r="A6" s="194" t="s">
        <v>13</v>
      </c>
      <c r="B6" s="191" t="s">
        <v>34</v>
      </c>
      <c r="C6" s="192"/>
      <c r="D6" s="192"/>
      <c r="E6" s="192"/>
      <c r="F6" s="193"/>
      <c r="G6" s="33"/>
      <c r="H6" s="227" t="s">
        <v>32</v>
      </c>
      <c r="I6" s="227"/>
      <c r="J6" s="227"/>
      <c r="K6" s="226" t="s">
        <v>33</v>
      </c>
      <c r="L6" s="226"/>
      <c r="M6" s="226"/>
      <c r="N6" s="55"/>
      <c r="O6" s="17"/>
      <c r="P6" s="23"/>
      <c r="Q6" s="23"/>
    </row>
    <row r="7" spans="1:17" ht="24.95" customHeight="1" x14ac:dyDescent="0.35">
      <c r="A7" s="195"/>
      <c r="B7" s="209" t="s">
        <v>51</v>
      </c>
      <c r="C7" s="210"/>
      <c r="D7" s="211"/>
      <c r="E7" s="207" t="s">
        <v>64</v>
      </c>
      <c r="F7" s="207"/>
      <c r="G7" s="36"/>
      <c r="H7" s="212" t="s">
        <v>15</v>
      </c>
      <c r="I7" s="212"/>
      <c r="J7" s="37">
        <f>COUNTIF(เก็บข้อมูลHRD!F7:F1934,"ความรู้/ทักษะเฉพาะทางในสายงาน")</f>
        <v>25</v>
      </c>
      <c r="K7" s="214" t="s">
        <v>48</v>
      </c>
      <c r="L7" s="214"/>
      <c r="M7" s="38">
        <f>COUNTIF(เก็บข้อมูลHRD!G7:G1934,"อบรมกับหน่วยงานนอกกรมฯ")</f>
        <v>0</v>
      </c>
      <c r="N7" s="57"/>
    </row>
    <row r="8" spans="1:17" ht="24.95" customHeight="1" x14ac:dyDescent="0.35">
      <c r="A8" s="195"/>
      <c r="B8" s="206" t="s">
        <v>8</v>
      </c>
      <c r="C8" s="206"/>
      <c r="D8" s="34">
        <f t="array" ref="D8">COUNTIFS(เก็บข้อมูลHRD!D7:D1934,"ข้าราชการ",เก็บข้อมูลHRD!M7:M1934,"1")</f>
        <v>15</v>
      </c>
      <c r="E8" s="35" t="s">
        <v>10</v>
      </c>
      <c r="F8" s="34">
        <f t="array" ref="F8">COUNTIFS(เก็บข้อมูลHRD!D7:D1934,"พนักงานราชการ",เก็บข้อมูลHRD!M7:M1934,"1")</f>
        <v>10</v>
      </c>
      <c r="G8" s="36"/>
      <c r="H8" s="212" t="s">
        <v>16</v>
      </c>
      <c r="I8" s="212"/>
      <c r="J8" s="37">
        <f>COUNTIF(เก็บข้อมูลHRD!F7:F1934,"ภาษา")</f>
        <v>0</v>
      </c>
      <c r="K8" s="213" t="s">
        <v>40</v>
      </c>
      <c r="L8" s="213"/>
      <c r="M8" s="38">
        <f>COUNTIF(เก็บข้อมูลHRD!G7:G1934,"อบรมกับหน่วยงานในกรมฯ")</f>
        <v>26</v>
      </c>
      <c r="N8" s="57"/>
      <c r="P8" s="25"/>
    </row>
    <row r="9" spans="1:17" ht="24.95" customHeight="1" x14ac:dyDescent="0.35">
      <c r="A9" s="195"/>
      <c r="B9" s="206" t="s">
        <v>9</v>
      </c>
      <c r="C9" s="206"/>
      <c r="D9" s="39">
        <f t="array" ref="D9">SUMPRODUCT(IF(เก็บข้อมูลHRD!D7:D1934="ข้าราชการ",IF(เก็บข้อมูลHRD!B7:B1934&lt;&gt;"",IF(เก็บข้อมูลHRD!M7:M1934=1,1/COUNTIFS(เก็บข้อมูลHRD!B7:B1934,เก็บข้อมูลHRD!B7:B1934,เก็บข้อมูลHRD!D7:D1934,"ข้าราชการ",เก็บข้อมูลHRD!B7:B1934,"&lt;&gt;",เก็บข้อมูลHRD!M7:M1934,"=1")))))</f>
        <v>14</v>
      </c>
      <c r="E9" s="35" t="s">
        <v>11</v>
      </c>
      <c r="F9" s="34">
        <f t="array" ref="F9">SUMPRODUCT(IF(เก็บข้อมูลHRD!D7:D1934="พนักงานราชการ",IF(เก็บข้อมูลHRD!B7:B1934&lt;&gt;"",IF(เก็บข้อมูลHRD!M7:M1934=1,1/COUNTIFS(เก็บข้อมูลHRD!B7:B1934,เก็บข้อมูลHRD!B7:B1934,เก็บข้อมูลHRD!D7:D1934,"พนักงานราชการ",เก็บข้อมูลHRD!B7:B1934,"&lt;&gt;",เก็บข้อมูลHRD!M7:M1934,"=1")))))</f>
        <v>9</v>
      </c>
      <c r="G9" s="41"/>
      <c r="H9" s="212" t="s">
        <v>17</v>
      </c>
      <c r="I9" s="212"/>
      <c r="J9" s="37">
        <f>COUNTIF(เก็บข้อมูลHRD!F7:F1934,"ภาวะผู้นำ/คุณธรรม/จริยธรรม")</f>
        <v>1</v>
      </c>
      <c r="K9" s="214" t="s">
        <v>49</v>
      </c>
      <c r="L9" s="214"/>
      <c r="M9" s="38">
        <f>COUNTIF(เก็บข้อมูลHRD!G7:G1934,"e-Learning")</f>
        <v>0</v>
      </c>
      <c r="N9" s="57"/>
    </row>
    <row r="10" spans="1:17" ht="24.95" customHeight="1" x14ac:dyDescent="0.35">
      <c r="A10" s="196"/>
      <c r="B10" s="206" t="s">
        <v>73</v>
      </c>
      <c r="C10" s="206"/>
      <c r="D10" s="40">
        <f t="array" ref="D10">D9/D4*100</f>
        <v>87.5</v>
      </c>
      <c r="E10" s="35" t="s">
        <v>74</v>
      </c>
      <c r="F10" s="40">
        <f t="array" ref="F10">F9/F4*100</f>
        <v>90</v>
      </c>
      <c r="G10" s="42"/>
      <c r="H10" s="212" t="s">
        <v>18</v>
      </c>
      <c r="I10" s="212"/>
      <c r="J10" s="37">
        <f t="array" ref="J10">COUNTIF(เก็บข้อมูลHRD!F7:F934,"จิตอาสา/บริการ")</f>
        <v>0</v>
      </c>
      <c r="K10" s="214" t="s">
        <v>23</v>
      </c>
      <c r="L10" s="214"/>
      <c r="M10" s="38">
        <f>COUNTIF(เก็บข้อมูลHRD!G7:G1934,"ชุมชนนักปฏิบัติ(CoP)")</f>
        <v>19</v>
      </c>
      <c r="N10" s="57"/>
    </row>
    <row r="11" spans="1:17" ht="24.95" customHeight="1" x14ac:dyDescent="0.35">
      <c r="A11" s="203" t="s">
        <v>14</v>
      </c>
      <c r="B11" s="200" t="s">
        <v>35</v>
      </c>
      <c r="C11" s="201"/>
      <c r="D11" s="201"/>
      <c r="E11" s="201"/>
      <c r="F11" s="202"/>
      <c r="G11" s="36"/>
      <c r="H11" s="212" t="s">
        <v>19</v>
      </c>
      <c r="I11" s="212"/>
      <c r="J11" s="37">
        <f>COUNTIF(เก็บข้อมูลHRD!F7:F1934,"ความรับผิดชอบ/ซื่อสัตย์สุจริต")</f>
        <v>0</v>
      </c>
      <c r="K11" s="214" t="s">
        <v>26</v>
      </c>
      <c r="L11" s="214"/>
      <c r="M11" s="38">
        <f>COUNTIF(เก็บข้อมูลHRD!G7:G1934,"สอนงาน")</f>
        <v>0</v>
      </c>
      <c r="N11" s="57"/>
    </row>
    <row r="12" spans="1:17" ht="24.95" customHeight="1" x14ac:dyDescent="0.35">
      <c r="A12" s="204"/>
      <c r="B12" s="197" t="s">
        <v>51</v>
      </c>
      <c r="C12" s="198"/>
      <c r="D12" s="199"/>
      <c r="E12" s="208" t="s">
        <v>64</v>
      </c>
      <c r="F12" s="208"/>
      <c r="G12" s="36"/>
      <c r="H12" s="212" t="s">
        <v>20</v>
      </c>
      <c r="I12" s="212"/>
      <c r="J12" s="37">
        <f>COUNTIF(เก็บข้อมูลHRD!F7:F1934,"ทำงานเป็นทีม")</f>
        <v>19</v>
      </c>
      <c r="K12" s="214" t="s">
        <v>27</v>
      </c>
      <c r="L12" s="214"/>
      <c r="M12" s="38">
        <f>COUNTIF(เก็บข้อมูลHRD!G7:G1934,"มอบหมายงาน")</f>
        <v>0</v>
      </c>
      <c r="N12" s="57"/>
    </row>
    <row r="13" spans="1:17" ht="24.95" customHeight="1" x14ac:dyDescent="0.35">
      <c r="A13" s="204"/>
      <c r="B13" s="186" t="s">
        <v>8</v>
      </c>
      <c r="C13" s="186"/>
      <c r="D13" s="34">
        <f t="array" ref="D13">COUNTIFS(เก็บข้อมูลHRD!D7:D1934,"ข้าราชการ",เก็บข้อมูลHRD!M7:M1934,"2")</f>
        <v>0</v>
      </c>
      <c r="E13" s="35" t="s">
        <v>10</v>
      </c>
      <c r="F13" s="34">
        <f t="array" ref="F13">COUNTIFS(เก็บข้อมูลHRD!D7:D1934,"พนักงานราชการ",เก็บข้อมูลHRD!M7:M1934,"2")</f>
        <v>0</v>
      </c>
      <c r="G13" s="41"/>
      <c r="H13" s="212" t="s">
        <v>24</v>
      </c>
      <c r="I13" s="212"/>
      <c r="J13" s="37">
        <f>COUNTIF(เก็บข้อมูลHRD!F7:F1934,"คิดค้น/ใช้นวัตกรรมใหม่ๆ")</f>
        <v>0</v>
      </c>
      <c r="K13" s="214" t="s">
        <v>28</v>
      </c>
      <c r="L13" s="214"/>
      <c r="M13" s="38">
        <f>COUNTIF(เก็บข้อมูลHRD!G7:G1934,"ดูงานนอกสถานที่")</f>
        <v>0</v>
      </c>
      <c r="N13" s="57"/>
      <c r="Q13" s="18" t="s">
        <v>56</v>
      </c>
    </row>
    <row r="14" spans="1:17" ht="24.95" customHeight="1" x14ac:dyDescent="0.35">
      <c r="A14" s="204"/>
      <c r="B14" s="186" t="s">
        <v>9</v>
      </c>
      <c r="C14" s="186"/>
      <c r="D14" s="34">
        <f t="array" ref="D14">SUMPRODUCT(IF(เก็บข้อมูลHRD!D7:D1934="ข้าราชการ",IF(เก็บข้อมูลHRD!B7:B1934&lt;&gt;"",IF(เก็บข้อมูลHRD!M7:M1934=2,1/COUNTIFS(เก็บข้อมูลHRD!B7:B1934,เก็บข้อมูลHRD!B7:B1934,เก็บข้อมูลHRD!D7:D1934,"ข้าราชการ",เก็บข้อมูลHRD!B7:B1934,"&lt;&gt;",เก็บข้อมูลHRD!M7:M1934,"=2")))))</f>
        <v>0</v>
      </c>
      <c r="E14" s="35" t="s">
        <v>11</v>
      </c>
      <c r="F14" s="34">
        <f t="array" ref="F14">SUMPRODUCT(IF(เก็บข้อมูลHRD!D7:D1934="พนักงานราชการ",IF(เก็บข้อมูลHRD!B7:B1934&lt;&gt;"",IF(เก็บข้อมูลHRD!M7:M1934=2,1/COUNTIFS(เก็บข้อมูลHRD!B7:B1934,เก็บข้อมูลHRD!B7:B1934,เก็บข้อมูลHRD!D7:D1934,"พนักงานราชการ",เก็บข้อมูลHRD!B7:B1934,"&lt;&gt;",เก็บข้อมูลHRD!M7:M1934,"=2")))))</f>
        <v>0</v>
      </c>
      <c r="G14" s="42"/>
      <c r="H14" s="212" t="s">
        <v>25</v>
      </c>
      <c r="I14" s="212"/>
      <c r="J14" s="37">
        <f>COUNTIF(เก็บข้อมูลHRD!F7:F1934,"กฎหมาย/กฎระเบียบฯ")</f>
        <v>0</v>
      </c>
      <c r="K14" s="214" t="s">
        <v>29</v>
      </c>
      <c r="L14" s="214"/>
      <c r="M14" s="38">
        <f>COUNTIF(เก็บข้อมูลHRD!G7:G1934,"หมุนเวียนงาน")</f>
        <v>0</v>
      </c>
      <c r="N14" s="57"/>
    </row>
    <row r="15" spans="1:17" ht="24.95" customHeight="1" x14ac:dyDescent="0.35">
      <c r="A15" s="205"/>
      <c r="B15" s="186" t="s">
        <v>73</v>
      </c>
      <c r="C15" s="186"/>
      <c r="D15" s="40">
        <f>D14/D4*100</f>
        <v>0</v>
      </c>
      <c r="E15" s="35" t="s">
        <v>74</v>
      </c>
      <c r="F15" s="40">
        <f>F14/F4*100</f>
        <v>0</v>
      </c>
      <c r="G15" s="36"/>
      <c r="H15" s="212" t="s">
        <v>21</v>
      </c>
      <c r="I15" s="212"/>
      <c r="J15" s="37">
        <f>COUNTIF(เก็บข้อมูลHRD!F7:F1934,"การใช้เทคโนโลยี")</f>
        <v>0</v>
      </c>
      <c r="K15" s="214" t="s">
        <v>30</v>
      </c>
      <c r="L15" s="214"/>
      <c r="M15" s="38">
        <f>COUNTIF(เก็บข้อมูลHRD!G7:G1934,"เรียนรู้ด้วยตนเอง")</f>
        <v>0</v>
      </c>
      <c r="N15" s="57"/>
    </row>
    <row r="16" spans="1:17" ht="24.95" customHeight="1" x14ac:dyDescent="0.35">
      <c r="A16" s="181" t="s">
        <v>12</v>
      </c>
      <c r="B16" s="182" t="s">
        <v>36</v>
      </c>
      <c r="C16" s="182"/>
      <c r="D16" s="182"/>
      <c r="E16" s="182"/>
      <c r="F16" s="183"/>
      <c r="G16" s="36"/>
      <c r="H16" s="212" t="s">
        <v>22</v>
      </c>
      <c r="I16" s="212"/>
      <c r="J16" s="37">
        <f>COUNTIF(เก็บข้อมูลHRD!F7:F1934,"ทักษะการคิด")</f>
        <v>0</v>
      </c>
      <c r="K16" s="214" t="s">
        <v>31</v>
      </c>
      <c r="L16" s="214"/>
      <c r="M16" s="38">
        <f>COUNTIF(เก็บข้อมูลHRD!G7:G1934,"อื่นๆ")</f>
        <v>0</v>
      </c>
      <c r="N16" s="57"/>
    </row>
    <row r="17" spans="1:18" ht="23.25" customHeight="1" x14ac:dyDescent="0.2">
      <c r="A17" s="181"/>
      <c r="B17" s="182" t="s">
        <v>51</v>
      </c>
      <c r="C17" s="182"/>
      <c r="D17" s="183"/>
      <c r="E17" s="184" t="s">
        <v>64</v>
      </c>
      <c r="F17" s="184"/>
      <c r="G17" s="41"/>
      <c r="H17" s="228" t="s">
        <v>52</v>
      </c>
      <c r="I17" s="228"/>
      <c r="J17" s="64">
        <f>SUM(J7:J16)</f>
        <v>45</v>
      </c>
      <c r="K17" s="228" t="s">
        <v>52</v>
      </c>
      <c r="L17" s="228"/>
      <c r="M17" s="65">
        <f>SUM(M7:M16)</f>
        <v>45</v>
      </c>
      <c r="N17" s="57"/>
    </row>
    <row r="18" spans="1:18" ht="24.95" customHeight="1" x14ac:dyDescent="0.3">
      <c r="A18" s="181"/>
      <c r="B18" s="185" t="s">
        <v>8</v>
      </c>
      <c r="C18" s="186"/>
      <c r="D18" s="34">
        <f>COUNTIF(เก็บข้อมูลHRD!D7:D1934,"ข้าราชการ")</f>
        <v>15</v>
      </c>
      <c r="E18" s="35" t="s">
        <v>10</v>
      </c>
      <c r="F18" s="34">
        <f t="array" ref="F18">COUNTIF(เก็บข้อมูลHRD!D7:D1934,"พนักงานราชการ")</f>
        <v>10</v>
      </c>
      <c r="G18" s="42"/>
      <c r="H18" s="178" t="s">
        <v>65</v>
      </c>
      <c r="I18" s="179"/>
      <c r="J18" s="179"/>
      <c r="K18" s="179"/>
      <c r="L18" s="179"/>
      <c r="M18" s="179"/>
      <c r="N18" s="42"/>
    </row>
    <row r="19" spans="1:18" ht="28.5" customHeight="1" x14ac:dyDescent="0.2">
      <c r="A19" s="181"/>
      <c r="B19" s="185" t="s">
        <v>9</v>
      </c>
      <c r="C19" s="186"/>
      <c r="D19" s="34">
        <f t="array" ref="D19">SUMPRODUCT(IF(เก็บข้อมูลHRD!D7:D1934="ข้าราชการ",IF(เก็บข้อมูลHRD!B7:B1934&lt;&gt;"",1/COUNTIFS(เก็บข้อมูลHRD!B7:B1934,เก็บข้อมูลHRD!B7:B1934,เก็บข้อมูลHRD!D7:D1934,"ข้าราชการ",เก็บข้อมูลHRD!B7:B1934,"&lt;&gt;"))))</f>
        <v>14</v>
      </c>
      <c r="E19" s="35" t="s">
        <v>11</v>
      </c>
      <c r="F19" s="34">
        <f t="array" ref="F19">SUMPRODUCT(IF(เก็บข้อมูลHRD!D7:D1934="พนักงานราชการ",IF(เก็บข้อมูลHRD!B7:B1934&lt;&gt;"",1/COUNTIFS(เก็บข้อมูลHRD!B7:B1934,เก็บข้อมูลHRD!B7:B1934,เก็บข้อมูลHRD!D7:D1934,"พนักงานราชการ",เก็บข้อมูลHRD!B7:B1934,"&lt;&gt;"))))</f>
        <v>9</v>
      </c>
      <c r="G19" s="41"/>
      <c r="H19" s="180"/>
      <c r="I19" s="180"/>
      <c r="J19" s="180"/>
      <c r="K19" s="180"/>
      <c r="L19" s="180"/>
      <c r="M19" s="180"/>
      <c r="N19" s="56"/>
    </row>
    <row r="20" spans="1:18" ht="24.95" customHeight="1" x14ac:dyDescent="0.3">
      <c r="A20" s="181"/>
      <c r="B20" s="185" t="s">
        <v>73</v>
      </c>
      <c r="C20" s="186"/>
      <c r="D20" s="40">
        <f>D19/D4*100</f>
        <v>87.5</v>
      </c>
      <c r="E20" s="35" t="s">
        <v>74</v>
      </c>
      <c r="F20" s="40">
        <f>F19/F4*100</f>
        <v>90</v>
      </c>
      <c r="G20" s="42"/>
      <c r="H20" s="180"/>
      <c r="I20" s="180"/>
      <c r="J20" s="180"/>
      <c r="K20" s="180"/>
      <c r="L20" s="180"/>
      <c r="M20" s="180"/>
      <c r="N20" s="47"/>
    </row>
    <row r="21" spans="1:18" ht="25.5" customHeight="1" x14ac:dyDescent="0.2">
      <c r="A21" s="181"/>
      <c r="B21" s="187" t="s">
        <v>39</v>
      </c>
      <c r="C21" s="187"/>
      <c r="D21" s="187"/>
      <c r="E21" s="187"/>
      <c r="F21" s="188"/>
      <c r="G21" s="72"/>
      <c r="H21" s="180"/>
      <c r="I21" s="180"/>
      <c r="J21" s="180"/>
      <c r="K21" s="180"/>
      <c r="L21" s="180"/>
      <c r="M21" s="180"/>
      <c r="N21" s="47"/>
      <c r="R21" s="18" t="s">
        <v>56</v>
      </c>
    </row>
    <row r="22" spans="1:18" ht="24" customHeight="1" x14ac:dyDescent="0.2">
      <c r="A22" s="181"/>
      <c r="B22" s="189" t="s">
        <v>38</v>
      </c>
      <c r="C22" s="190"/>
      <c r="D22" s="43">
        <f t="array" ref="D22">SUMPRODUCT(IF(เก็บข้อมูลHRD!L7:L1934="มี",IF(เก็บข้อมูลHRD!B7:B1934&lt;&gt;"",1/COUNTIFS(เก็บข้อมูลHRD!B7:B1934,เก็บข้อมูลHRD!B7:B1934,เก็บข้อมูลHRD!L7:L1934,"มี",เก็บข้อมูลHRD!B7:B1934,"&lt;&gt;"))))</f>
        <v>19</v>
      </c>
      <c r="E22" s="35" t="s">
        <v>37</v>
      </c>
      <c r="F22" s="40">
        <f t="array" ref="F22">(D22/SUMPRODUCT((เก็บข้อมูลHRD!B7:B1934&lt;&gt;"")/COUNTIF(เก็บข้อมูลHRD!B7:B1934,เก็บข้อมูลHRD!B7:B1934&amp;"")))*100</f>
        <v>82.608695652173907</v>
      </c>
      <c r="G22" s="73"/>
      <c r="H22" s="180"/>
      <c r="I22" s="180"/>
      <c r="J22" s="180"/>
      <c r="K22" s="180"/>
      <c r="L22" s="180"/>
      <c r="M22" s="180"/>
      <c r="N22" s="47"/>
    </row>
    <row r="23" spans="1:18" ht="21" x14ac:dyDescent="0.2">
      <c r="A23" s="181"/>
      <c r="B23" s="187" t="s">
        <v>41</v>
      </c>
      <c r="C23" s="187"/>
      <c r="D23" s="187"/>
      <c r="E23" s="187"/>
      <c r="F23" s="188"/>
      <c r="G23" s="73"/>
      <c r="H23" s="180"/>
      <c r="I23" s="180"/>
      <c r="J23" s="180"/>
      <c r="K23" s="180"/>
      <c r="L23" s="180"/>
      <c r="M23" s="180"/>
      <c r="N23" s="73"/>
    </row>
    <row r="24" spans="1:18" ht="21.75" customHeight="1" x14ac:dyDescent="0.2">
      <c r="A24" s="181"/>
      <c r="B24" s="189" t="s">
        <v>42</v>
      </c>
      <c r="C24" s="190"/>
      <c r="D24" s="44">
        <f t="array" ref="D24">SUM(เก็บข้อมูลHRD!K7:K1934)</f>
        <v>40000</v>
      </c>
      <c r="E24" s="45" t="s">
        <v>57</v>
      </c>
      <c r="F24" s="46">
        <f t="array" ref="F24">AVERAGEIF(เก็บข้อมูลHRD!K7:K1934,"&lt;&gt;0")</f>
        <v>40000</v>
      </c>
      <c r="G24" s="73"/>
      <c r="H24" s="177" t="s">
        <v>60</v>
      </c>
      <c r="I24" s="177"/>
      <c r="J24" s="177"/>
      <c r="K24" s="177"/>
      <c r="L24" s="177"/>
      <c r="M24" s="73"/>
      <c r="N24" s="73"/>
    </row>
    <row r="25" spans="1:18" x14ac:dyDescent="0.2">
      <c r="B25" s="225"/>
      <c r="C25" s="225"/>
      <c r="D25" s="225"/>
      <c r="E25" s="22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0"/>
  <sheetViews>
    <sheetView view="pageBreakPreview" zoomScaleNormal="100" zoomScaleSheetLayoutView="100" workbookViewId="0">
      <selection activeCell="C27" sqref="C27"/>
    </sheetView>
  </sheetViews>
  <sheetFormatPr defaultRowHeight="22.5" x14ac:dyDescent="0.35"/>
  <cols>
    <col min="1" max="1" width="10.375" style="68" customWidth="1"/>
    <col min="2" max="2" width="42" style="69" customWidth="1"/>
    <col min="3" max="3" width="37.625" style="70" customWidth="1"/>
    <col min="4" max="4" width="44.75" style="68" customWidth="1"/>
    <col min="5" max="16384" width="9" style="58"/>
  </cols>
  <sheetData>
    <row r="1" spans="1:4" ht="36" x14ac:dyDescent="0.65">
      <c r="A1" s="230" t="s">
        <v>62</v>
      </c>
      <c r="B1" s="230"/>
      <c r="C1" s="230"/>
      <c r="D1" s="230"/>
    </row>
    <row r="2" spans="1:4" ht="92.25" customHeight="1" x14ac:dyDescent="0.35">
      <c r="A2" s="229" t="s">
        <v>71</v>
      </c>
      <c r="B2" s="229"/>
      <c r="C2" s="229"/>
      <c r="D2" s="229"/>
    </row>
    <row r="3" spans="1:4" ht="186.75" customHeight="1" x14ac:dyDescent="0.35">
      <c r="A3" s="229" t="s">
        <v>67</v>
      </c>
      <c r="B3" s="229"/>
      <c r="C3" s="229"/>
      <c r="D3" s="229"/>
    </row>
    <row r="4" spans="1:4" s="62" customFormat="1" ht="45" x14ac:dyDescent="0.2">
      <c r="A4" s="59" t="s">
        <v>55</v>
      </c>
      <c r="B4" s="60" t="s">
        <v>61</v>
      </c>
      <c r="C4" s="61" t="s">
        <v>1</v>
      </c>
      <c r="D4" s="63" t="s">
        <v>63</v>
      </c>
    </row>
    <row r="5" spans="1:4" x14ac:dyDescent="0.35">
      <c r="A5" s="66">
        <v>1</v>
      </c>
      <c r="B5" s="74" t="s">
        <v>75</v>
      </c>
      <c r="C5" s="75" t="s">
        <v>76</v>
      </c>
      <c r="D5" s="67" t="str">
        <f>IF(COUNTIF(เก็บข้อมูลHRD!$B$7:$B$1934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35">
      <c r="A6" s="66">
        <v>2</v>
      </c>
      <c r="B6" s="74" t="s">
        <v>77</v>
      </c>
      <c r="C6" s="75" t="s">
        <v>78</v>
      </c>
      <c r="D6" s="67" t="str">
        <f>IF(COUNTIF(เก็บข้อมูลHRD!$B$7:$B$1934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66">
        <v>3</v>
      </c>
      <c r="B7" s="74" t="s">
        <v>79</v>
      </c>
      <c r="C7" s="75" t="s">
        <v>80</v>
      </c>
      <c r="D7" s="67" t="str">
        <f>IF(COUNTIF(เก็บข้อมูลHRD!$B$7:$B$1934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66">
        <v>4</v>
      </c>
      <c r="B8" s="74" t="s">
        <v>81</v>
      </c>
      <c r="C8" s="75" t="s">
        <v>82</v>
      </c>
      <c r="D8" s="67" t="str">
        <f>IF(COUNTIF(เก็บข้อมูลHRD!$B$7:$B$1934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66">
        <v>5</v>
      </c>
      <c r="B9" s="74" t="s">
        <v>83</v>
      </c>
      <c r="C9" s="75" t="s">
        <v>82</v>
      </c>
      <c r="D9" s="67" t="str">
        <f>IF(COUNTIF(เก็บข้อมูลHRD!$B$7:$B$1934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66">
        <v>6</v>
      </c>
      <c r="B10" s="74" t="s">
        <v>84</v>
      </c>
      <c r="C10" s="75" t="s">
        <v>82</v>
      </c>
      <c r="D10" s="67" t="str">
        <f>IF(COUNTIF(เก็บข้อมูลHRD!$B$7:$B$1934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66">
        <v>7</v>
      </c>
      <c r="B11" s="74" t="s">
        <v>85</v>
      </c>
      <c r="C11" s="75" t="s">
        <v>76</v>
      </c>
      <c r="D11" s="67" t="str">
        <f>IF(COUNTIF(เก็บข้อมูลHRD!$B$7:$B$1934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66">
        <v>8</v>
      </c>
      <c r="B12" s="74" t="s">
        <v>86</v>
      </c>
      <c r="C12" s="75" t="s">
        <v>87</v>
      </c>
      <c r="D12" s="67" t="str">
        <f>IF(COUNTIF(เก็บข้อมูลHRD!$B$7:$B$1934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66">
        <v>9</v>
      </c>
      <c r="B13" s="74" t="s">
        <v>88</v>
      </c>
      <c r="C13" s="75" t="s">
        <v>76</v>
      </c>
      <c r="D13" s="67" t="str">
        <f>IF(COUNTIF(เก็บข้อมูลHRD!$B$7:$B$1934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66">
        <v>10</v>
      </c>
      <c r="B14" s="74" t="s">
        <v>89</v>
      </c>
      <c r="C14" s="75" t="s">
        <v>90</v>
      </c>
      <c r="D14" s="67" t="str">
        <f>IF(COUNTIF(เก็บข้อมูลHRD!$B$7:$B$1934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66">
        <v>11</v>
      </c>
      <c r="B15" s="74" t="s">
        <v>91</v>
      </c>
      <c r="C15" s="75" t="s">
        <v>82</v>
      </c>
      <c r="D15" s="67" t="str">
        <f>IF(COUNTIF(เก็บข้อมูลHRD!$B$7:$B$1934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 x14ac:dyDescent="0.35">
      <c r="A16" s="66">
        <v>12</v>
      </c>
      <c r="B16" s="74" t="s">
        <v>92</v>
      </c>
      <c r="C16" s="75" t="s">
        <v>82</v>
      </c>
      <c r="D16" s="67" t="str">
        <f>IF(COUNTIF(เก็บข้อมูลHRD!$B$7:$B$1934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66">
        <v>13</v>
      </c>
      <c r="B17" s="74" t="s">
        <v>93</v>
      </c>
      <c r="C17" s="75" t="s">
        <v>94</v>
      </c>
      <c r="D17" s="67" t="str">
        <f>IF(COUNTIF(เก็บข้อมูลHRD!$B$7:$B$1934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66">
        <v>14</v>
      </c>
      <c r="B18" s="74" t="s">
        <v>95</v>
      </c>
      <c r="C18" s="75" t="s">
        <v>90</v>
      </c>
      <c r="D18" s="67" t="str">
        <f>IF(COUNTIF(เก็บข้อมูลHRD!$B$7:$B$1934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66">
        <v>15</v>
      </c>
      <c r="B19" s="74" t="s">
        <v>96</v>
      </c>
      <c r="C19" s="75" t="s">
        <v>97</v>
      </c>
      <c r="D19" s="67" t="str">
        <f>IF(COUNTIF(เก็บข้อมูลHRD!$B$7:$B$1934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66">
        <v>16</v>
      </c>
      <c r="B20" s="74" t="s">
        <v>98</v>
      </c>
      <c r="C20" s="75" t="s">
        <v>90</v>
      </c>
      <c r="D20" s="67" t="str">
        <f>IF(COUNTIF(เก็บข้อมูลHRD!$B$7:$B$1934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66">
        <v>17</v>
      </c>
      <c r="B21" s="74" t="s">
        <v>99</v>
      </c>
      <c r="C21" s="75" t="s">
        <v>100</v>
      </c>
      <c r="D21" s="67" t="str">
        <f>IF(COUNTIF(เก็บข้อมูลHRD!$B$7:$B$1934,B21),"ได้รับการพัฒนาแล้ว",IF(B21="","ป้อนรายชื่อบุคลากรเพิ่ม(ถ้ามี)","ยังไม่ได้รับการพัฒนา"))</f>
        <v>ยังไม่ได้รับการพัฒนา</v>
      </c>
    </row>
    <row r="22" spans="1:4" x14ac:dyDescent="0.35">
      <c r="A22" s="66">
        <v>18</v>
      </c>
      <c r="B22" s="74" t="s">
        <v>101</v>
      </c>
      <c r="C22" s="75" t="s">
        <v>102</v>
      </c>
      <c r="D22" s="67" t="str">
        <f>IF(COUNTIF(เก็บข้อมูลHRD!$B$7:$B$1934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66">
        <v>19</v>
      </c>
      <c r="B23" s="74" t="s">
        <v>103</v>
      </c>
      <c r="C23" s="75" t="s">
        <v>102</v>
      </c>
      <c r="D23" s="67" t="str">
        <f>IF(COUNTIF(เก็บข้อมูลHRD!$B$7:$B$1934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66">
        <v>20</v>
      </c>
      <c r="B24" s="74" t="s">
        <v>104</v>
      </c>
      <c r="C24" s="75" t="s">
        <v>82</v>
      </c>
      <c r="D24" s="67" t="str">
        <f>IF(COUNTIF(เก็บข้อมูลHRD!$B$7:$B$1934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66">
        <v>21</v>
      </c>
      <c r="B25" s="74" t="s">
        <v>105</v>
      </c>
      <c r="C25" s="75" t="s">
        <v>82</v>
      </c>
      <c r="D25" s="67" t="str">
        <f>IF(COUNTIF(เก็บข้อมูลHRD!$B$7:$B$1934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66">
        <v>22</v>
      </c>
      <c r="B26" s="74" t="s">
        <v>106</v>
      </c>
      <c r="C26" s="75" t="s">
        <v>107</v>
      </c>
      <c r="D26" s="67" t="str">
        <f>IF(COUNTIF(เก็บข้อมูลHRD!$B$7:$B$1934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66">
        <v>23</v>
      </c>
      <c r="B27" s="74" t="s">
        <v>108</v>
      </c>
      <c r="C27" s="75" t="s">
        <v>100</v>
      </c>
      <c r="D27" s="67" t="str">
        <f>IF(COUNTIF(เก็บข้อมูลHRD!$B$7:$B$1934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66">
        <v>24</v>
      </c>
      <c r="B28" s="74" t="s">
        <v>109</v>
      </c>
      <c r="C28" s="75" t="s">
        <v>100</v>
      </c>
      <c r="D28" s="67" t="str">
        <f>IF(COUNTIF(เก็บข้อมูลHRD!$B$7:$B$1934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66">
        <v>25</v>
      </c>
      <c r="B29" s="74" t="s">
        <v>110</v>
      </c>
      <c r="C29" s="75" t="s">
        <v>80</v>
      </c>
      <c r="D29" s="67" t="str">
        <f>IF(COUNTIF(เก็บข้อมูลHRD!$B$7:$B$1934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66">
        <v>26</v>
      </c>
      <c r="B30" s="74" t="s">
        <v>111</v>
      </c>
      <c r="C30" s="75" t="s">
        <v>112</v>
      </c>
      <c r="D30" s="67" t="str">
        <f>IF(COUNTIF(เก็บข้อมูลHRD!$B$7:$B$1934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Kratae-PC</cp:lastModifiedBy>
  <cp:lastPrinted>2020-03-16T06:51:49Z</cp:lastPrinted>
  <dcterms:created xsi:type="dcterms:W3CDTF">2019-10-21T02:57:05Z</dcterms:created>
  <dcterms:modified xsi:type="dcterms:W3CDTF">2020-03-19T08:10:39Z</dcterms:modified>
</cp:coreProperties>
</file>